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2370f6029f5990/Desktop/"/>
    </mc:Choice>
  </mc:AlternateContent>
  <xr:revisionPtr revIDLastSave="0" documentId="8_{7FA0E2B9-2DC1-42BF-828B-9F96F1B3BCAE}" xr6:coauthVersionLast="40" xr6:coauthVersionMax="40" xr10:uidLastSave="{00000000-0000-0000-0000-000000000000}"/>
  <bookViews>
    <workbookView xWindow="0" yWindow="0" windowWidth="21576" windowHeight="7380" xr2:uid="{00000000-000D-0000-FFFF-FFFF00000000}"/>
  </bookViews>
  <sheets>
    <sheet name="Dashboard" sheetId="10" r:id="rId1"/>
    <sheet name="Forecasts" sheetId="19" r:id="rId2"/>
    <sheet name="Tax Data" sheetId="11" state="hidden" r:id="rId3"/>
    <sheet name="CI Data" sheetId="9" state="hidden" r:id="rId4"/>
    <sheet name="Calculations" sheetId="21" r:id="rId5"/>
  </sheets>
  <definedNames>
    <definedName name="Crop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0" l="1"/>
  <c r="C21" i="10"/>
  <c r="I2" i="19" s="1"/>
  <c r="I3" i="19" s="1"/>
  <c r="I4" i="19" s="1"/>
  <c r="I5" i="19" s="1"/>
  <c r="I6" i="19" s="1"/>
  <c r="I7" i="19" s="1"/>
  <c r="I8" i="19" s="1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F12" i="10" l="1"/>
  <c r="X3" i="19" l="1"/>
  <c r="X7" i="19"/>
  <c r="X11" i="19"/>
  <c r="X15" i="19"/>
  <c r="X19" i="19"/>
  <c r="X23" i="19"/>
  <c r="X27" i="19"/>
  <c r="X31" i="19"/>
  <c r="X35" i="19"/>
  <c r="X13" i="19"/>
  <c r="X25" i="19"/>
  <c r="X33" i="19"/>
  <c r="X30" i="19"/>
  <c r="X4" i="19"/>
  <c r="X8" i="19"/>
  <c r="X12" i="19"/>
  <c r="X16" i="19"/>
  <c r="X20" i="19"/>
  <c r="X24" i="19"/>
  <c r="X28" i="19"/>
  <c r="X32" i="19"/>
  <c r="X36" i="19"/>
  <c r="X17" i="19"/>
  <c r="X21" i="19"/>
  <c r="X2" i="19"/>
  <c r="X6" i="19"/>
  <c r="X10" i="19"/>
  <c r="X18" i="19"/>
  <c r="X26" i="19"/>
  <c r="X5" i="19"/>
  <c r="X9" i="19"/>
  <c r="X29" i="19"/>
  <c r="X14" i="19"/>
  <c r="X22" i="19"/>
  <c r="X34" i="1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4" i="9"/>
  <c r="I12" i="10" l="1"/>
  <c r="D5" i="11" l="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4" i="11"/>
  <c r="C3" i="9" l="1"/>
  <c r="C4" i="9"/>
  <c r="B7" i="19" l="1"/>
  <c r="C8" i="10"/>
  <c r="B5" i="19" l="1"/>
  <c r="C9" i="10"/>
  <c r="F6" i="10" l="1"/>
  <c r="F7" i="10"/>
  <c r="B6" i="19"/>
  <c r="F8" i="10" l="1"/>
  <c r="K14" i="19"/>
  <c r="K7" i="19"/>
  <c r="K27" i="19"/>
  <c r="K16" i="19"/>
  <c r="K17" i="19"/>
  <c r="K34" i="19"/>
  <c r="K20" i="19"/>
  <c r="K23" i="19"/>
  <c r="K32" i="19"/>
  <c r="K30" i="19"/>
  <c r="K10" i="19"/>
  <c r="K33" i="19"/>
  <c r="K13" i="19"/>
  <c r="K8" i="19"/>
  <c r="K15" i="19"/>
  <c r="K24" i="19"/>
  <c r="K26" i="19"/>
  <c r="K36" i="19"/>
  <c r="K29" i="19"/>
  <c r="K9" i="19"/>
  <c r="K31" i="19"/>
  <c r="K11" i="19"/>
  <c r="K12" i="19"/>
  <c r="K18" i="19"/>
  <c r="K28" i="19"/>
  <c r="K25" i="19"/>
  <c r="K35" i="19"/>
  <c r="K19" i="19"/>
  <c r="K3" i="19"/>
  <c r="K2" i="19"/>
  <c r="K22" i="19"/>
  <c r="K6" i="19"/>
  <c r="K4" i="19"/>
  <c r="K21" i="19"/>
  <c r="K5" i="19"/>
  <c r="C28" i="10"/>
  <c r="I7" i="10" l="1"/>
  <c r="F17" i="10"/>
  <c r="B8" i="19"/>
  <c r="B3" i="19" l="1"/>
  <c r="B4" i="19" l="1"/>
  <c r="E3" i="19" l="1"/>
  <c r="F3" i="19" s="1"/>
  <c r="H3" i="19" s="1"/>
  <c r="J3" i="19" s="1"/>
  <c r="E27" i="19"/>
  <c r="F27" i="19" s="1"/>
  <c r="H27" i="19" s="1"/>
  <c r="J27" i="19" s="1"/>
  <c r="E31" i="19"/>
  <c r="F31" i="19" s="1"/>
  <c r="H31" i="19" s="1"/>
  <c r="J31" i="19" s="1"/>
  <c r="E35" i="19"/>
  <c r="F35" i="19" s="1"/>
  <c r="H35" i="19" s="1"/>
  <c r="J35" i="19" s="1"/>
  <c r="E28" i="19"/>
  <c r="F28" i="19" s="1"/>
  <c r="H28" i="19" s="1"/>
  <c r="J28" i="19" s="1"/>
  <c r="E32" i="19"/>
  <c r="F32" i="19" s="1"/>
  <c r="H32" i="19" s="1"/>
  <c r="J32" i="19" s="1"/>
  <c r="E36" i="19"/>
  <c r="F36" i="19" s="1"/>
  <c r="H36" i="19" s="1"/>
  <c r="J36" i="19" s="1"/>
  <c r="E29" i="19"/>
  <c r="F29" i="19" s="1"/>
  <c r="H29" i="19" s="1"/>
  <c r="J29" i="19" s="1"/>
  <c r="E33" i="19"/>
  <c r="F33" i="19" s="1"/>
  <c r="H33" i="19" s="1"/>
  <c r="J33" i="19" s="1"/>
  <c r="E34" i="19"/>
  <c r="F34" i="19" s="1"/>
  <c r="H34" i="19" s="1"/>
  <c r="J34" i="19" s="1"/>
  <c r="E30" i="19"/>
  <c r="F30" i="19" s="1"/>
  <c r="H30" i="19" s="1"/>
  <c r="J30" i="19" s="1"/>
  <c r="E18" i="19"/>
  <c r="F18" i="19" s="1"/>
  <c r="H18" i="19" s="1"/>
  <c r="J18" i="19" s="1"/>
  <c r="E14" i="19"/>
  <c r="F14" i="19" s="1"/>
  <c r="H14" i="19" s="1"/>
  <c r="J14" i="19" s="1"/>
  <c r="E26" i="19"/>
  <c r="F26" i="19" s="1"/>
  <c r="H26" i="19" s="1"/>
  <c r="J26" i="19" s="1"/>
  <c r="E10" i="19"/>
  <c r="F10" i="19" s="1"/>
  <c r="H10" i="19" s="1"/>
  <c r="J10" i="19" s="1"/>
  <c r="E22" i="19"/>
  <c r="F22" i="19" s="1"/>
  <c r="H22" i="19" s="1"/>
  <c r="J22" i="19" s="1"/>
  <c r="E6" i="19"/>
  <c r="F6" i="19" s="1"/>
  <c r="H6" i="19" s="1"/>
  <c r="J6" i="19" s="1"/>
  <c r="E25" i="19"/>
  <c r="F25" i="19" s="1"/>
  <c r="H25" i="19" s="1"/>
  <c r="J25" i="19" s="1"/>
  <c r="E21" i="19"/>
  <c r="F21" i="19" s="1"/>
  <c r="H21" i="19" s="1"/>
  <c r="J21" i="19" s="1"/>
  <c r="E17" i="19"/>
  <c r="F17" i="19" s="1"/>
  <c r="H17" i="19" s="1"/>
  <c r="J17" i="19" s="1"/>
  <c r="E13" i="19"/>
  <c r="F13" i="19" s="1"/>
  <c r="H13" i="19" s="1"/>
  <c r="J13" i="19" s="1"/>
  <c r="E9" i="19"/>
  <c r="E5" i="19"/>
  <c r="F5" i="19" s="1"/>
  <c r="H5" i="19" s="1"/>
  <c r="J5" i="19" s="1"/>
  <c r="E24" i="19"/>
  <c r="F24" i="19" s="1"/>
  <c r="H24" i="19" s="1"/>
  <c r="J24" i="19" s="1"/>
  <c r="E20" i="19"/>
  <c r="F20" i="19" s="1"/>
  <c r="H20" i="19" s="1"/>
  <c r="J20" i="19" s="1"/>
  <c r="E16" i="19"/>
  <c r="F16" i="19" s="1"/>
  <c r="H16" i="19" s="1"/>
  <c r="J16" i="19" s="1"/>
  <c r="E12" i="19"/>
  <c r="F12" i="19" s="1"/>
  <c r="H12" i="19" s="1"/>
  <c r="J12" i="19" s="1"/>
  <c r="E8" i="19"/>
  <c r="F8" i="19" s="1"/>
  <c r="H8" i="19" s="1"/>
  <c r="J8" i="19" s="1"/>
  <c r="E4" i="19"/>
  <c r="F4" i="19" s="1"/>
  <c r="H4" i="19" s="1"/>
  <c r="J4" i="19" s="1"/>
  <c r="E2" i="19"/>
  <c r="E23" i="19"/>
  <c r="F23" i="19" s="1"/>
  <c r="H23" i="19" s="1"/>
  <c r="J23" i="19" s="1"/>
  <c r="E19" i="19"/>
  <c r="F19" i="19" s="1"/>
  <c r="H19" i="19" s="1"/>
  <c r="J19" i="19" s="1"/>
  <c r="E15" i="19"/>
  <c r="F15" i="19" s="1"/>
  <c r="H15" i="19" s="1"/>
  <c r="J15" i="19" s="1"/>
  <c r="E11" i="19"/>
  <c r="F11" i="19" s="1"/>
  <c r="H11" i="19" s="1"/>
  <c r="J11" i="19" s="1"/>
  <c r="E7" i="19"/>
  <c r="F7" i="19" s="1"/>
  <c r="H7" i="19" s="1"/>
  <c r="J7" i="19" s="1"/>
  <c r="F2" i="19" l="1"/>
  <c r="H2" i="19" s="1"/>
  <c r="F9" i="19"/>
  <c r="H9" i="19" s="1"/>
  <c r="J9" i="19" s="1"/>
  <c r="G3" i="9"/>
  <c r="H3" i="9"/>
  <c r="F3" i="9"/>
  <c r="B3" i="9"/>
  <c r="C29" i="10"/>
  <c r="S2" i="19" s="1"/>
  <c r="S3" i="19" s="1"/>
  <c r="S4" i="19" s="1"/>
  <c r="S5" i="19" s="1"/>
  <c r="S6" i="19" s="1"/>
  <c r="S7" i="19" s="1"/>
  <c r="S8" i="19" s="1"/>
  <c r="S9" i="19" s="1"/>
  <c r="S10" i="19" s="1"/>
  <c r="S11" i="19" s="1"/>
  <c r="S12" i="19" s="1"/>
  <c r="S13" i="19" s="1"/>
  <c r="S14" i="19" s="1"/>
  <c r="S15" i="19" s="1"/>
  <c r="S16" i="19" s="1"/>
  <c r="S17" i="19" s="1"/>
  <c r="S18" i="19" s="1"/>
  <c r="S19" i="19" s="1"/>
  <c r="S20" i="19" s="1"/>
  <c r="S21" i="19" s="1"/>
  <c r="S22" i="19" s="1"/>
  <c r="S23" i="19" s="1"/>
  <c r="S24" i="19" s="1"/>
  <c r="S25" i="19" s="1"/>
  <c r="S26" i="19" s="1"/>
  <c r="S27" i="19" s="1"/>
  <c r="S28" i="19" s="1"/>
  <c r="S29" i="19" s="1"/>
  <c r="S30" i="19" s="1"/>
  <c r="S31" i="19" s="1"/>
  <c r="S32" i="19" s="1"/>
  <c r="S33" i="19" s="1"/>
  <c r="S34" i="19" s="1"/>
  <c r="S35" i="19" s="1"/>
  <c r="S36" i="19" s="1"/>
  <c r="R2" i="19"/>
  <c r="R3" i="19" s="1"/>
  <c r="R4" i="19" s="1"/>
  <c r="R5" i="19" s="1"/>
  <c r="R6" i="19" s="1"/>
  <c r="R7" i="19" s="1"/>
  <c r="R8" i="19" s="1"/>
  <c r="R9" i="19" s="1"/>
  <c r="R10" i="19" s="1"/>
  <c r="R11" i="19" s="1"/>
  <c r="R12" i="19" s="1"/>
  <c r="R13" i="19" s="1"/>
  <c r="R14" i="19" s="1"/>
  <c r="R15" i="19" s="1"/>
  <c r="R16" i="19" s="1"/>
  <c r="R17" i="19" s="1"/>
  <c r="R18" i="19" s="1"/>
  <c r="R19" i="19" s="1"/>
  <c r="R20" i="19" s="1"/>
  <c r="R21" i="19" s="1"/>
  <c r="R22" i="19" s="1"/>
  <c r="R23" i="19" s="1"/>
  <c r="R24" i="19" s="1"/>
  <c r="R25" i="19" s="1"/>
  <c r="R26" i="19" s="1"/>
  <c r="R27" i="19" s="1"/>
  <c r="R28" i="19" s="1"/>
  <c r="R29" i="19" s="1"/>
  <c r="R30" i="19" s="1"/>
  <c r="R31" i="19" s="1"/>
  <c r="R32" i="19" s="1"/>
  <c r="R33" i="19" s="1"/>
  <c r="R34" i="19" s="1"/>
  <c r="R35" i="19" s="1"/>
  <c r="R36" i="19" s="1"/>
  <c r="C27" i="10"/>
  <c r="Q2" i="19" s="1"/>
  <c r="Q3" i="19" s="1"/>
  <c r="Q4" i="19" s="1"/>
  <c r="Q5" i="19" s="1"/>
  <c r="Q6" i="19" s="1"/>
  <c r="Q7" i="19" s="1"/>
  <c r="Q8" i="19" s="1"/>
  <c r="Q9" i="19" s="1"/>
  <c r="Q10" i="19" s="1"/>
  <c r="Q11" i="19" s="1"/>
  <c r="Q12" i="19" s="1"/>
  <c r="Q13" i="19" s="1"/>
  <c r="Q14" i="19" s="1"/>
  <c r="Q15" i="19" s="1"/>
  <c r="Q16" i="19" s="1"/>
  <c r="Q17" i="19" s="1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C5" i="9"/>
  <c r="C6" i="9"/>
  <c r="C7" i="9"/>
  <c r="C8" i="9"/>
  <c r="C9" i="9"/>
  <c r="C10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J2" i="19" l="1"/>
  <c r="I6" i="10"/>
  <c r="C26" i="10"/>
  <c r="P2" i="19" s="1"/>
  <c r="P3" i="19" s="1"/>
  <c r="P4" i="19" s="1"/>
  <c r="P5" i="19" s="1"/>
  <c r="P6" i="19" s="1"/>
  <c r="P7" i="19" s="1"/>
  <c r="P8" i="19" s="1"/>
  <c r="P9" i="19" s="1"/>
  <c r="P10" i="19" s="1"/>
  <c r="P11" i="19" s="1"/>
  <c r="P12" i="19" s="1"/>
  <c r="P13" i="19" s="1"/>
  <c r="P14" i="19" s="1"/>
  <c r="P15" i="19" s="1"/>
  <c r="P16" i="19" s="1"/>
  <c r="P17" i="19" s="1"/>
  <c r="P18" i="19" s="1"/>
  <c r="P19" i="19" s="1"/>
  <c r="P20" i="19" s="1"/>
  <c r="P21" i="19" s="1"/>
  <c r="P22" i="19" s="1"/>
  <c r="P23" i="19" s="1"/>
  <c r="P24" i="19" s="1"/>
  <c r="P25" i="19" s="1"/>
  <c r="P26" i="19" s="1"/>
  <c r="P27" i="19" s="1"/>
  <c r="P28" i="19" s="1"/>
  <c r="P29" i="19" s="1"/>
  <c r="P30" i="19" s="1"/>
  <c r="P31" i="19" s="1"/>
  <c r="P32" i="19" s="1"/>
  <c r="P33" i="19" s="1"/>
  <c r="P34" i="19" s="1"/>
  <c r="P35" i="19" s="1"/>
  <c r="P36" i="19" s="1"/>
  <c r="C31" i="10"/>
  <c r="C32" i="10" s="1"/>
  <c r="AE2" i="19" l="1"/>
  <c r="I13" i="9"/>
  <c r="I95" i="9"/>
  <c r="I31" i="9"/>
  <c r="I28" i="9"/>
  <c r="I86" i="9"/>
  <c r="I22" i="9"/>
  <c r="I121" i="9"/>
  <c r="AE14" i="19"/>
  <c r="AE19" i="19"/>
  <c r="AE3" i="19"/>
  <c r="AE35" i="19"/>
  <c r="AE36" i="19"/>
  <c r="AE4" i="19"/>
  <c r="AE34" i="19"/>
  <c r="AE24" i="19"/>
  <c r="AE23" i="19"/>
  <c r="AE31" i="19"/>
  <c r="AE20" i="19"/>
  <c r="AE32" i="19"/>
  <c r="AE33" i="19"/>
  <c r="AE5" i="19"/>
  <c r="AE16" i="19"/>
  <c r="AE6" i="19"/>
  <c r="AE27" i="19"/>
  <c r="AE28" i="19"/>
  <c r="AE29" i="19"/>
  <c r="AE30" i="19"/>
  <c r="AE8" i="19"/>
  <c r="AE12" i="19"/>
  <c r="AE15" i="19"/>
  <c r="AE22" i="19"/>
  <c r="AE18" i="19"/>
  <c r="AE21" i="19"/>
  <c r="AE17" i="19"/>
  <c r="AE25" i="19"/>
  <c r="AE26" i="19"/>
  <c r="AE10" i="19"/>
  <c r="AE11" i="19"/>
  <c r="AE9" i="19"/>
  <c r="AE13" i="19"/>
  <c r="AE7" i="19"/>
  <c r="I8" i="9"/>
  <c r="I79" i="9"/>
  <c r="I15" i="9"/>
  <c r="I134" i="9"/>
  <c r="I70" i="9"/>
  <c r="I6" i="9"/>
  <c r="I105" i="9"/>
  <c r="I124" i="9"/>
  <c r="I127" i="9"/>
  <c r="I63" i="9"/>
  <c r="I116" i="9"/>
  <c r="I118" i="9"/>
  <c r="I54" i="9"/>
  <c r="I88" i="9"/>
  <c r="I89" i="9"/>
  <c r="I44" i="9"/>
  <c r="I84" i="9"/>
  <c r="I111" i="9"/>
  <c r="I47" i="9"/>
  <c r="I72" i="9"/>
  <c r="I102" i="9"/>
  <c r="I38" i="9"/>
  <c r="I137" i="9"/>
  <c r="I73" i="9"/>
  <c r="I57" i="9"/>
  <c r="I41" i="9"/>
  <c r="I25" i="9"/>
  <c r="I9" i="9"/>
  <c r="I112" i="9"/>
  <c r="I32" i="9"/>
  <c r="I123" i="9"/>
  <c r="I91" i="9"/>
  <c r="I59" i="9"/>
  <c r="I27" i="9"/>
  <c r="I108" i="9"/>
  <c r="I20" i="9"/>
  <c r="I114" i="9"/>
  <c r="I82" i="9"/>
  <c r="I50" i="9"/>
  <c r="I18" i="9"/>
  <c r="I76" i="9"/>
  <c r="I117" i="9"/>
  <c r="I101" i="9"/>
  <c r="I69" i="9"/>
  <c r="I37" i="9"/>
  <c r="I5" i="9"/>
  <c r="I100" i="9"/>
  <c r="I56" i="9"/>
  <c r="I24" i="9"/>
  <c r="I135" i="9"/>
  <c r="I119" i="9"/>
  <c r="I103" i="9"/>
  <c r="I87" i="9"/>
  <c r="I71" i="9"/>
  <c r="I55" i="9"/>
  <c r="I39" i="9"/>
  <c r="I23" i="9"/>
  <c r="I7" i="9"/>
  <c r="I96" i="9"/>
  <c r="I52" i="9"/>
  <c r="I12" i="9"/>
  <c r="I126" i="9"/>
  <c r="I110" i="9"/>
  <c r="I94" i="9"/>
  <c r="I78" i="9"/>
  <c r="I62" i="9"/>
  <c r="I46" i="9"/>
  <c r="I30" i="9"/>
  <c r="I14" i="9"/>
  <c r="I120" i="9"/>
  <c r="I60" i="9"/>
  <c r="I129" i="9"/>
  <c r="I113" i="9"/>
  <c r="I97" i="9"/>
  <c r="I81" i="9"/>
  <c r="I65" i="9"/>
  <c r="I49" i="9"/>
  <c r="I33" i="9"/>
  <c r="I17" i="9"/>
  <c r="I68" i="9"/>
  <c r="I4" i="9"/>
  <c r="I107" i="9"/>
  <c r="I75" i="9"/>
  <c r="I43" i="9"/>
  <c r="I11" i="9"/>
  <c r="I64" i="9"/>
  <c r="I130" i="9"/>
  <c r="I98" i="9"/>
  <c r="I66" i="9"/>
  <c r="I34" i="9"/>
  <c r="I132" i="9"/>
  <c r="I133" i="9"/>
  <c r="I85" i="9"/>
  <c r="I53" i="9"/>
  <c r="I21" i="9"/>
  <c r="I136" i="9"/>
  <c r="I92" i="9"/>
  <c r="I48" i="9"/>
  <c r="I16" i="9"/>
  <c r="I131" i="9"/>
  <c r="I115" i="9"/>
  <c r="I99" i="9"/>
  <c r="I83" i="9"/>
  <c r="I67" i="9"/>
  <c r="I51" i="9"/>
  <c r="I35" i="9"/>
  <c r="I19" i="9"/>
  <c r="I128" i="9"/>
  <c r="I80" i="9"/>
  <c r="I40" i="9"/>
  <c r="I138" i="9"/>
  <c r="I122" i="9"/>
  <c r="I106" i="9"/>
  <c r="I90" i="9"/>
  <c r="I74" i="9"/>
  <c r="I58" i="9"/>
  <c r="I42" i="9"/>
  <c r="I26" i="9"/>
  <c r="I10" i="9"/>
  <c r="I104" i="9"/>
  <c r="I36" i="9"/>
  <c r="I125" i="9"/>
  <c r="I109" i="9"/>
  <c r="I93" i="9"/>
  <c r="I77" i="9"/>
  <c r="I61" i="9"/>
  <c r="I45" i="9"/>
  <c r="I29" i="9"/>
  <c r="AF2" i="19"/>
  <c r="AF3" i="19" s="1"/>
  <c r="C33" i="10"/>
  <c r="AI2" i="19"/>
  <c r="AI3" i="19" s="1"/>
  <c r="AI4" i="19" s="1"/>
  <c r="AI5" i="19" s="1"/>
  <c r="AI6" i="19" s="1"/>
  <c r="AI7" i="19" s="1"/>
  <c r="AI8" i="19" s="1"/>
  <c r="AI9" i="19" s="1"/>
  <c r="AI10" i="19" s="1"/>
  <c r="AI11" i="19" s="1"/>
  <c r="AI12" i="19" s="1"/>
  <c r="AI13" i="19" s="1"/>
  <c r="AI14" i="19" s="1"/>
  <c r="AI15" i="19" s="1"/>
  <c r="AI16" i="19" s="1"/>
  <c r="AI17" i="19" s="1"/>
  <c r="AI18" i="19" s="1"/>
  <c r="AI19" i="19" s="1"/>
  <c r="AI20" i="19" s="1"/>
  <c r="AI21" i="19" s="1"/>
  <c r="AI22" i="19" s="1"/>
  <c r="AI23" i="19" s="1"/>
  <c r="AI24" i="19" s="1"/>
  <c r="AI25" i="19" s="1"/>
  <c r="AI26" i="19" s="1"/>
  <c r="AI27" i="19" s="1"/>
  <c r="AI28" i="19" s="1"/>
  <c r="AI29" i="19" s="1"/>
  <c r="AI30" i="19" s="1"/>
  <c r="AI31" i="19" s="1"/>
  <c r="AI32" i="19" s="1"/>
  <c r="AI33" i="19" s="1"/>
  <c r="AI34" i="19" s="1"/>
  <c r="AI35" i="19" s="1"/>
  <c r="AI36" i="19" s="1"/>
  <c r="AH2" i="19"/>
  <c r="AH3" i="19" s="1"/>
  <c r="AH4" i="19" s="1"/>
  <c r="AH5" i="19" s="1"/>
  <c r="AH6" i="19" s="1"/>
  <c r="AH7" i="19" s="1"/>
  <c r="AH8" i="19" s="1"/>
  <c r="AH9" i="19" s="1"/>
  <c r="AH10" i="19" s="1"/>
  <c r="AH11" i="19" s="1"/>
  <c r="AH12" i="19" s="1"/>
  <c r="AH13" i="19" s="1"/>
  <c r="AH14" i="19" s="1"/>
  <c r="AH15" i="19" s="1"/>
  <c r="AH16" i="19" s="1"/>
  <c r="AH17" i="19" s="1"/>
  <c r="AH18" i="19" s="1"/>
  <c r="AH19" i="19" s="1"/>
  <c r="AH20" i="19" s="1"/>
  <c r="AH21" i="19" s="1"/>
  <c r="AH22" i="19" s="1"/>
  <c r="AH23" i="19" s="1"/>
  <c r="AH24" i="19" s="1"/>
  <c r="AH25" i="19" s="1"/>
  <c r="AH26" i="19" s="1"/>
  <c r="AH27" i="19" s="1"/>
  <c r="AH28" i="19" s="1"/>
  <c r="AH29" i="19" s="1"/>
  <c r="AH30" i="19" s="1"/>
  <c r="AH31" i="19" s="1"/>
  <c r="AH32" i="19" s="1"/>
  <c r="AH33" i="19" s="1"/>
  <c r="AH34" i="19" s="1"/>
  <c r="AH35" i="19" s="1"/>
  <c r="AH36" i="19" s="1"/>
  <c r="AG2" i="19"/>
  <c r="AG3" i="19" s="1"/>
  <c r="AG4" i="19" s="1"/>
  <c r="AG5" i="19" s="1"/>
  <c r="AG6" i="19" s="1"/>
  <c r="AG7" i="19" s="1"/>
  <c r="AG8" i="19" s="1"/>
  <c r="AG9" i="19" s="1"/>
  <c r="AG10" i="19" s="1"/>
  <c r="AG11" i="19" s="1"/>
  <c r="AG12" i="19" s="1"/>
  <c r="AG13" i="19" s="1"/>
  <c r="AG14" i="19" s="1"/>
  <c r="AG15" i="19" s="1"/>
  <c r="AG16" i="19" s="1"/>
  <c r="AG17" i="19" s="1"/>
  <c r="AG18" i="19" s="1"/>
  <c r="AG19" i="19" s="1"/>
  <c r="AG20" i="19" s="1"/>
  <c r="AG21" i="19" s="1"/>
  <c r="AG22" i="19" s="1"/>
  <c r="AG23" i="19" s="1"/>
  <c r="AG24" i="19" s="1"/>
  <c r="AG25" i="19" s="1"/>
  <c r="AG26" i="19" s="1"/>
  <c r="AG27" i="19" s="1"/>
  <c r="AG28" i="19" s="1"/>
  <c r="AG29" i="19" s="1"/>
  <c r="AG30" i="19" s="1"/>
  <c r="AG31" i="19" s="1"/>
  <c r="AG32" i="19" s="1"/>
  <c r="AG33" i="19" s="1"/>
  <c r="AG34" i="19" s="1"/>
  <c r="AG35" i="19" s="1"/>
  <c r="AG36" i="19" s="1"/>
  <c r="AF4" i="19" l="1"/>
  <c r="AF5" i="19" l="1"/>
  <c r="AF6" i="19" l="1"/>
  <c r="AF7" i="19" l="1"/>
  <c r="AF8" i="19" l="1"/>
  <c r="C36" i="10"/>
  <c r="C35" i="10"/>
  <c r="C34" i="10"/>
  <c r="C24" i="10"/>
  <c r="C25" i="10" s="1"/>
  <c r="C38" i="10" l="1"/>
  <c r="N2" i="19"/>
  <c r="AF9" i="19"/>
  <c r="C39" i="10"/>
  <c r="N3" i="19" l="1"/>
  <c r="T3" i="19" s="1"/>
  <c r="V3" i="19" s="1"/>
  <c r="W3" i="19" s="1"/>
  <c r="T2" i="19"/>
  <c r="C40" i="10"/>
  <c r="AF10" i="19"/>
  <c r="V2" i="19" l="1"/>
  <c r="N4" i="19"/>
  <c r="T4" i="19" s="1"/>
  <c r="V4" i="19" s="1"/>
  <c r="W4" i="19" s="1"/>
  <c r="F11" i="10"/>
  <c r="I8" i="10" s="1"/>
  <c r="I17" i="10" s="1"/>
  <c r="AF11" i="19"/>
  <c r="N5" i="19" l="1"/>
  <c r="T5" i="19" s="1"/>
  <c r="V5" i="19" s="1"/>
  <c r="W5" i="19" s="1"/>
  <c r="W2" i="19"/>
  <c r="AF12" i="19"/>
  <c r="N6" i="19" l="1"/>
  <c r="T6" i="19" s="1"/>
  <c r="V6" i="19" s="1"/>
  <c r="W6" i="19" s="1"/>
  <c r="N7" i="19"/>
  <c r="T7" i="19" s="1"/>
  <c r="V7" i="19" s="1"/>
  <c r="W7" i="19" s="1"/>
  <c r="AF13" i="19"/>
  <c r="N8" i="19" l="1"/>
  <c r="T8" i="19" s="1"/>
  <c r="V8" i="19" s="1"/>
  <c r="W8" i="19" s="1"/>
  <c r="AF14" i="19"/>
  <c r="N9" i="19" l="1"/>
  <c r="T9" i="19" s="1"/>
  <c r="V9" i="19" s="1"/>
  <c r="W9" i="19" s="1"/>
  <c r="AF15" i="19"/>
  <c r="N10" i="19" l="1"/>
  <c r="T10" i="19" s="1"/>
  <c r="V10" i="19" s="1"/>
  <c r="W10" i="19" s="1"/>
  <c r="AF16" i="19"/>
  <c r="N11" i="19" l="1"/>
  <c r="T11" i="19" s="1"/>
  <c r="V11" i="19" s="1"/>
  <c r="W11" i="19" s="1"/>
  <c r="AF17" i="19"/>
  <c r="N12" i="19" l="1"/>
  <c r="T12" i="19" s="1"/>
  <c r="V12" i="19" s="1"/>
  <c r="W12" i="19" s="1"/>
  <c r="AF18" i="19"/>
  <c r="N13" i="19" l="1"/>
  <c r="T13" i="19" s="1"/>
  <c r="V13" i="19" s="1"/>
  <c r="W13" i="19" s="1"/>
  <c r="AF19" i="19"/>
  <c r="L28" i="19" l="1"/>
  <c r="AA28" i="19" s="1"/>
  <c r="L24" i="19"/>
  <c r="AA24" i="19" s="1"/>
  <c r="L35" i="19"/>
  <c r="AA35" i="19" s="1"/>
  <c r="L19" i="19"/>
  <c r="AA19" i="19" s="1"/>
  <c r="L30" i="19"/>
  <c r="AA30" i="19" s="1"/>
  <c r="L14" i="19"/>
  <c r="AA14" i="19" s="1"/>
  <c r="L16" i="19"/>
  <c r="AA16" i="19" s="1"/>
  <c r="L21" i="19"/>
  <c r="AA21" i="19" s="1"/>
  <c r="L34" i="19"/>
  <c r="AA34" i="19" s="1"/>
  <c r="L31" i="19"/>
  <c r="AA31" i="19" s="1"/>
  <c r="L15" i="19"/>
  <c r="AA15" i="19" s="1"/>
  <c r="L32" i="19"/>
  <c r="AA32" i="19" s="1"/>
  <c r="L26" i="19"/>
  <c r="AA26" i="19" s="1"/>
  <c r="L33" i="19"/>
  <c r="AA33" i="19" s="1"/>
  <c r="L17" i="19"/>
  <c r="AA17" i="19" s="1"/>
  <c r="L23" i="19"/>
  <c r="AA23" i="19" s="1"/>
  <c r="L18" i="19"/>
  <c r="AA18" i="19" s="1"/>
  <c r="L25" i="19"/>
  <c r="AA25" i="19" s="1"/>
  <c r="L27" i="19"/>
  <c r="AA27" i="19" s="1"/>
  <c r="L20" i="19"/>
  <c r="AA20" i="19" s="1"/>
  <c r="L22" i="19"/>
  <c r="AA22" i="19" s="1"/>
  <c r="L36" i="19"/>
  <c r="AA36" i="19" s="1"/>
  <c r="L29" i="19"/>
  <c r="AA29" i="19" s="1"/>
  <c r="L13" i="19"/>
  <c r="AA13" i="19" s="1"/>
  <c r="N14" i="19"/>
  <c r="T14" i="19" s="1"/>
  <c r="V14" i="19" s="1"/>
  <c r="W14" i="19" s="1"/>
  <c r="AF20" i="19"/>
  <c r="O14" i="19" l="1"/>
  <c r="U14" i="19" s="1"/>
  <c r="L7" i="19"/>
  <c r="AA7" i="19" s="1"/>
  <c r="O7" i="19"/>
  <c r="U7" i="19" s="1"/>
  <c r="Y7" i="19" s="1"/>
  <c r="Z7" i="19" s="1"/>
  <c r="AB7" i="19" s="1"/>
  <c r="L11" i="19"/>
  <c r="AA11" i="19" s="1"/>
  <c r="O11" i="19"/>
  <c r="U11" i="19" s="1"/>
  <c r="O2" i="19"/>
  <c r="L6" i="19"/>
  <c r="AA6" i="19" s="1"/>
  <c r="O6" i="19"/>
  <c r="U6" i="19" s="1"/>
  <c r="Y6" i="19" s="1"/>
  <c r="Z6" i="19" s="1"/>
  <c r="L9" i="19"/>
  <c r="AA9" i="19" s="1"/>
  <c r="O9" i="19"/>
  <c r="U9" i="19" s="1"/>
  <c r="Y9" i="19" s="1"/>
  <c r="Z9" i="19" s="1"/>
  <c r="L12" i="19"/>
  <c r="AA12" i="19" s="1"/>
  <c r="O12" i="19"/>
  <c r="U12" i="19" s="1"/>
  <c r="L10" i="19"/>
  <c r="AA10" i="19" s="1"/>
  <c r="O10" i="19"/>
  <c r="U10" i="19" s="1"/>
  <c r="Y10" i="19" s="1"/>
  <c r="Z10" i="19" s="1"/>
  <c r="L4" i="19"/>
  <c r="AA4" i="19" s="1"/>
  <c r="O4" i="19"/>
  <c r="U4" i="19" s="1"/>
  <c r="L5" i="19"/>
  <c r="AA5" i="19" s="1"/>
  <c r="O5" i="19"/>
  <c r="U5" i="19" s="1"/>
  <c r="Y5" i="19" s="1"/>
  <c r="Z5" i="19" s="1"/>
  <c r="L3" i="19"/>
  <c r="AA3" i="19" s="1"/>
  <c r="O3" i="19"/>
  <c r="U3" i="19" s="1"/>
  <c r="Y3" i="19" s="1"/>
  <c r="Z3" i="19" s="1"/>
  <c r="L8" i="19"/>
  <c r="AA8" i="19" s="1"/>
  <c r="O8" i="19"/>
  <c r="U8" i="19" s="1"/>
  <c r="Y8" i="19" s="1"/>
  <c r="Z8" i="19" s="1"/>
  <c r="O13" i="19"/>
  <c r="U13" i="19" s="1"/>
  <c r="N15" i="19"/>
  <c r="AF21" i="19"/>
  <c r="Y4" i="19" l="1"/>
  <c r="Z4" i="19" s="1"/>
  <c r="AB8" i="19"/>
  <c r="AB5" i="19"/>
  <c r="AB10" i="19"/>
  <c r="L2" i="19"/>
  <c r="AA2" i="19" s="1"/>
  <c r="AB9" i="19"/>
  <c r="O15" i="19"/>
  <c r="U15" i="19" s="1"/>
  <c r="T15" i="19"/>
  <c r="V15" i="19" s="1"/>
  <c r="W15" i="19" s="1"/>
  <c r="C43" i="10"/>
  <c r="C42" i="10"/>
  <c r="U2" i="19"/>
  <c r="AB3" i="19"/>
  <c r="AB4" i="19"/>
  <c r="AB6" i="19"/>
  <c r="Y11" i="19"/>
  <c r="Z11" i="19" s="1"/>
  <c r="AB11" i="19" s="1"/>
  <c r="N16" i="19"/>
  <c r="AF22" i="19"/>
  <c r="Y12" i="19"/>
  <c r="C44" i="10" l="1"/>
  <c r="O16" i="19"/>
  <c r="U16" i="19" s="1"/>
  <c r="T16" i="19"/>
  <c r="V16" i="19" s="1"/>
  <c r="W16" i="19" s="1"/>
  <c r="N17" i="19"/>
  <c r="AF23" i="19"/>
  <c r="Z12" i="19"/>
  <c r="AB12" i="19" s="1"/>
  <c r="Y13" i="19"/>
  <c r="F13" i="10" l="1"/>
  <c r="Y2" i="19" s="1"/>
  <c r="O17" i="19"/>
  <c r="U17" i="19" s="1"/>
  <c r="T17" i="19"/>
  <c r="V17" i="19" s="1"/>
  <c r="W17" i="19" s="1"/>
  <c r="N18" i="19"/>
  <c r="AF24" i="19"/>
  <c r="Z13" i="19"/>
  <c r="AB13" i="19" s="1"/>
  <c r="Y14" i="19"/>
  <c r="F14" i="10" l="1"/>
  <c r="F18" i="10" s="1"/>
  <c r="F19" i="10" s="1"/>
  <c r="Z2" i="19"/>
  <c r="O18" i="19"/>
  <c r="U18" i="19" s="1"/>
  <c r="T18" i="19"/>
  <c r="V18" i="19" s="1"/>
  <c r="W18" i="19" s="1"/>
  <c r="N19" i="19"/>
  <c r="AF25" i="19"/>
  <c r="Z14" i="19"/>
  <c r="AB14" i="19" s="1"/>
  <c r="Y15" i="19"/>
  <c r="AB2" i="19" l="1"/>
  <c r="O19" i="19"/>
  <c r="U19" i="19" s="1"/>
  <c r="T19" i="19"/>
  <c r="V19" i="19" s="1"/>
  <c r="W19" i="19" s="1"/>
  <c r="N20" i="19"/>
  <c r="AF26" i="19"/>
  <c r="Z15" i="19"/>
  <c r="AB15" i="19" s="1"/>
  <c r="Y16" i="19"/>
  <c r="O20" i="19" l="1"/>
  <c r="U20" i="19" s="1"/>
  <c r="T20" i="19"/>
  <c r="V20" i="19" s="1"/>
  <c r="W20" i="19" s="1"/>
  <c r="N21" i="19"/>
  <c r="AF27" i="19"/>
  <c r="Z16" i="19"/>
  <c r="AB16" i="19" s="1"/>
  <c r="Y17" i="19"/>
  <c r="O21" i="19" l="1"/>
  <c r="U21" i="19" s="1"/>
  <c r="T21" i="19"/>
  <c r="V21" i="19" s="1"/>
  <c r="W21" i="19" s="1"/>
  <c r="N22" i="19"/>
  <c r="AF28" i="19"/>
  <c r="Z17" i="19"/>
  <c r="AB17" i="19" s="1"/>
  <c r="Y18" i="19"/>
  <c r="O22" i="19" l="1"/>
  <c r="U22" i="19" s="1"/>
  <c r="T22" i="19"/>
  <c r="V22" i="19" s="1"/>
  <c r="W22" i="19" s="1"/>
  <c r="N23" i="19"/>
  <c r="AF29" i="19"/>
  <c r="Y19" i="19"/>
  <c r="Z18" i="19"/>
  <c r="AB18" i="19" s="1"/>
  <c r="O23" i="19" l="1"/>
  <c r="U23" i="19" s="1"/>
  <c r="T23" i="19"/>
  <c r="V23" i="19" s="1"/>
  <c r="W23" i="19" s="1"/>
  <c r="N24" i="19"/>
  <c r="AF30" i="19"/>
  <c r="Z19" i="19"/>
  <c r="AB19" i="19" s="1"/>
  <c r="Y20" i="19"/>
  <c r="O24" i="19" l="1"/>
  <c r="U24" i="19" s="1"/>
  <c r="T24" i="19"/>
  <c r="V24" i="19" s="1"/>
  <c r="W24" i="19" s="1"/>
  <c r="N25" i="19"/>
  <c r="AF31" i="19"/>
  <c r="Y21" i="19"/>
  <c r="Z20" i="19"/>
  <c r="AB20" i="19" s="1"/>
  <c r="O25" i="19" l="1"/>
  <c r="U25" i="19" s="1"/>
  <c r="T25" i="19"/>
  <c r="V25" i="19" s="1"/>
  <c r="W25" i="19" s="1"/>
  <c r="N26" i="19"/>
  <c r="AF32" i="19"/>
  <c r="Z21" i="19"/>
  <c r="AB21" i="19" s="1"/>
  <c r="Y22" i="19"/>
  <c r="O26" i="19" l="1"/>
  <c r="U26" i="19" s="1"/>
  <c r="T26" i="19"/>
  <c r="V26" i="19" s="1"/>
  <c r="W26" i="19" s="1"/>
  <c r="N27" i="19"/>
  <c r="AF33" i="19"/>
  <c r="Z22" i="19"/>
  <c r="AB22" i="19" s="1"/>
  <c r="Y23" i="19"/>
  <c r="O27" i="19" l="1"/>
  <c r="U27" i="19" s="1"/>
  <c r="T27" i="19"/>
  <c r="V27" i="19" s="1"/>
  <c r="W27" i="19" s="1"/>
  <c r="N28" i="19"/>
  <c r="AF34" i="19"/>
  <c r="Z23" i="19"/>
  <c r="AB23" i="19" s="1"/>
  <c r="Y24" i="19"/>
  <c r="O28" i="19" l="1"/>
  <c r="U28" i="19" s="1"/>
  <c r="T28" i="19"/>
  <c r="V28" i="19" s="1"/>
  <c r="W28" i="19" s="1"/>
  <c r="N29" i="19"/>
  <c r="AF35" i="19"/>
  <c r="Z24" i="19"/>
  <c r="AB24" i="19" s="1"/>
  <c r="Y25" i="19"/>
  <c r="O29" i="19" l="1"/>
  <c r="U29" i="19" s="1"/>
  <c r="T29" i="19"/>
  <c r="V29" i="19" s="1"/>
  <c r="W29" i="19" s="1"/>
  <c r="N30" i="19"/>
  <c r="AF36" i="19"/>
  <c r="Y26" i="19"/>
  <c r="Z25" i="19"/>
  <c r="AB25" i="19" s="1"/>
  <c r="O30" i="19" l="1"/>
  <c r="U30" i="19" s="1"/>
  <c r="T30" i="19"/>
  <c r="V30" i="19" s="1"/>
  <c r="W30" i="19" s="1"/>
  <c r="N31" i="19"/>
  <c r="Z26" i="19"/>
  <c r="AB26" i="19" s="1"/>
  <c r="Y27" i="19"/>
  <c r="O31" i="19" l="1"/>
  <c r="U31" i="19" s="1"/>
  <c r="T31" i="19"/>
  <c r="V31" i="19" s="1"/>
  <c r="W31" i="19" s="1"/>
  <c r="N32" i="19"/>
  <c r="Y28" i="19"/>
  <c r="Z27" i="19"/>
  <c r="AB27" i="19" s="1"/>
  <c r="O32" i="19" l="1"/>
  <c r="U32" i="19" s="1"/>
  <c r="T32" i="19"/>
  <c r="V32" i="19" s="1"/>
  <c r="W32" i="19" s="1"/>
  <c r="N33" i="19"/>
  <c r="Z28" i="19"/>
  <c r="AB28" i="19" s="1"/>
  <c r="Y29" i="19"/>
  <c r="O33" i="19" l="1"/>
  <c r="U33" i="19" s="1"/>
  <c r="T33" i="19"/>
  <c r="V33" i="19" s="1"/>
  <c r="W33" i="19" s="1"/>
  <c r="N34" i="19"/>
  <c r="Z29" i="19"/>
  <c r="AB29" i="19" s="1"/>
  <c r="Y30" i="19"/>
  <c r="O34" i="19" l="1"/>
  <c r="U34" i="19" s="1"/>
  <c r="T34" i="19"/>
  <c r="V34" i="19" s="1"/>
  <c r="W34" i="19" s="1"/>
  <c r="N35" i="19"/>
  <c r="Y31" i="19"/>
  <c r="Z30" i="19"/>
  <c r="AB30" i="19" s="1"/>
  <c r="O35" i="19" l="1"/>
  <c r="U35" i="19" s="1"/>
  <c r="T35" i="19"/>
  <c r="V35" i="19" s="1"/>
  <c r="W35" i="19" s="1"/>
  <c r="N36" i="19"/>
  <c r="Z31" i="19"/>
  <c r="AB31" i="19" s="1"/>
  <c r="Y32" i="19"/>
  <c r="O36" i="19" l="1"/>
  <c r="U36" i="19" s="1"/>
  <c r="I13" i="10" s="1"/>
  <c r="T36" i="19"/>
  <c r="Y33" i="19"/>
  <c r="Z32" i="19"/>
  <c r="AB32" i="19" s="1"/>
  <c r="V36" i="19" l="1"/>
  <c r="W36" i="19" s="1"/>
  <c r="I11" i="10"/>
  <c r="Z33" i="19"/>
  <c r="AB33" i="19" s="1"/>
  <c r="Y34" i="19"/>
  <c r="Z34" i="19" l="1"/>
  <c r="AB34" i="19" s="1"/>
  <c r="Y35" i="19"/>
  <c r="Y36" i="19" l="1"/>
  <c r="Z35" i="19"/>
  <c r="AB35" i="19" s="1"/>
  <c r="Z36" i="19" l="1"/>
  <c r="AB36" i="19" s="1"/>
  <c r="B11" i="19" s="1"/>
  <c r="I14" i="10"/>
  <c r="I18" i="10" s="1"/>
  <c r="I19" i="10" s="1"/>
  <c r="B28" i="19" s="1"/>
  <c r="B10" i="19"/>
</calcChain>
</file>

<file path=xl/sharedStrings.xml><?xml version="1.0" encoding="utf-8"?>
<sst xmlns="http://schemas.openxmlformats.org/spreadsheetml/2006/main" count="567" uniqueCount="390">
  <si>
    <t>True Value</t>
  </si>
  <si>
    <t>Adjusted Gross Income</t>
  </si>
  <si>
    <t>Taxable Retail Sales</t>
  </si>
  <si>
    <t>ADM</t>
  </si>
  <si>
    <t>Population</t>
  </si>
  <si>
    <t>State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</si>
  <si>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</si>
  <si>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</si>
  <si>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</si>
  <si>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</si>
  <si>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</si>
  <si>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</si>
  <si>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</si>
  <si>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</si>
  <si>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</si>
  <si>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</si>
  <si>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</si>
  <si>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</si>
  <si>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</si>
  <si>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</si>
  <si>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</si>
  <si>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</si>
  <si>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</si>
  <si>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</si>
  <si>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</si>
  <si>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</si>
  <si>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</si>
  <si>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</si>
  <si>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</si>
  <si>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</si>
  <si>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</si>
  <si>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</si>
  <si>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</si>
  <si>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 COUNTY</t>
  </si>
  <si>
    <t>FAUQUIER</t>
  </si>
  <si>
    <t>FLOYD</t>
  </si>
  <si>
    <t>FLUVANNA</t>
  </si>
  <si>
    <t>FRANKLIN COUNTY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</si>
  <si>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</si>
  <si>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</si>
  <si>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</si>
  <si>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</si>
  <si>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</si>
  <si>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</si>
  <si>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</si>
  <si>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</si>
  <si>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</si>
  <si>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</si>
  <si>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</si>
  <si>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</si>
  <si>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</si>
  <si>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JAMES CITY</t>
  </si>
  <si>
    <t>KING GEORGE</t>
  </si>
  <si>
    <t>KING AND QUEEN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</si>
  <si>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</si>
  <si>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</si>
  <si>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</si>
  <si>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</si>
  <si>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</si>
  <si>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</si>
  <si>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</si>
  <si>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</si>
  <si>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</si>
  <si>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</si>
  <si>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</si>
  <si>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</si>
  <si>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</si>
  <si>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</si>
  <si>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</si>
  <si>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</si>
  <si>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</si>
  <si>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</si>
  <si>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</si>
  <si>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</si>
  <si>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</si>
  <si>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</si>
  <si>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</si>
  <si>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</si>
  <si>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</si>
  <si>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</si>
  <si>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 COUNTY</t>
  </si>
  <si>
    <t>ROANOKE COUNTY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</si>
  <si>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</si>
  <si>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</si>
  <si>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</si>
  <si>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</si>
  <si>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</si>
  <si>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</si>
  <si>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</si>
  <si>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</si>
  <si>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</si>
  <si>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</si>
  <si>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</si>
  <si>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</si>
  <si>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</si>
  <si>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</si>
  <si>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</si>
  <si>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</si>
  <si>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</si>
  <si>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</si>
  <si>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ALEXANDRIA</t>
  </si>
  <si>
    <t>BRISTOL</t>
  </si>
  <si>
    <t>BUENA VISTA</t>
  </si>
  <si>
    <t>CHARLOTTESVILLE</t>
  </si>
  <si>
    <t>COLONIAL HEIGHTS</t>
  </si>
  <si>
    <t>COVINGTON</t>
  </si>
  <si>
    <t>DANVILLE</t>
  </si>
  <si>
    <t>FALLS CHURCH</t>
  </si>
  <si>
    <t>FREDERICKSBURG</t>
  </si>
  <si>
    <t>GALAX</t>
  </si>
  <si>
    <t>HAMPTON</t>
  </si>
  <si>
    <t>HARRISONBURG</t>
  </si>
  <si>
    <t>HOPEWELL</t>
  </si>
  <si>
    <t>LYNCHBURG</t>
  </si>
  <si>
    <t>MARTINSVILLE</t>
  </si>
  <si>
    <t>NEWPORT NEWS</t>
  </si>
  <si>
    <t>NORFOLK</t>
  </si>
  <si>
    <t>NORTON</t>
  </si>
  <si>
    <t>PETERSBURG</t>
  </si>
  <si>
    <t>PORTSMOUTH</t>
  </si>
  <si>
    <t>RADFORD</t>
  </si>
  <si>
    <t>RICHMOND CITY</t>
  </si>
  <si>
    <t>ROANOKE CITY</t>
  </si>
  <si>
    <t>STAUNTON</t>
  </si>
  <si>
    <t>SUFFOLK</t>
  </si>
  <si>
    <t>VIRGINIA BEACH</t>
  </si>
  <si>
    <t>WAYNESBORO</t>
  </si>
  <si>
    <t>WILLIAMSBURG</t>
  </si>
  <si>
    <t>WINCHESTER</t>
  </si>
  <si>
    <t>FAIRFAX CITY</t>
  </si>
  <si>
    <t>FRANKLIN CITY</t>
  </si>
  <si>
    <t>CHESAPEAKE</t>
  </si>
  <si>
    <t>LEXINGTON</t>
  </si>
  <si>
    <t>EMPORIA</t>
  </si>
  <si>
    <t>Mecklenburg</t>
  </si>
  <si>
    <t>Greensville</t>
  </si>
  <si>
    <t>Year</t>
  </si>
  <si>
    <t>State Exemption</t>
  </si>
  <si>
    <r>
      <rPr>
        <b/>
        <sz val="10"/>
        <rFont val="Times New Roman"/>
        <family val="1"/>
      </rPr>
      <t>Locality</t>
    </r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</si>
  <si>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</si>
  <si>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</si>
  <si>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</si>
  <si>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</si>
  <si>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</si>
  <si>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</si>
  <si>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</si>
  <si>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</si>
  <si>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</si>
  <si>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Bedford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</si>
  <si>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</si>
  <si>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</si>
  <si>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</si>
  <si>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</si>
  <si>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</si>
  <si>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</si>
  <si>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</si>
  <si>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</si>
  <si>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</si>
  <si>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</si>
  <si>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</si>
  <si>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</si>
  <si>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</si>
  <si>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</si>
  <si>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</si>
  <si>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</si>
  <si>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</si>
  <si>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</si>
  <si>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Alexandria</t>
  </si>
  <si>
    <t>Bristol</t>
  </si>
  <si>
    <t>Buena Vista</t>
  </si>
  <si>
    <t>Charlottesville</t>
  </si>
  <si>
    <t>Chesapeake</t>
  </si>
  <si>
    <t>Colonial Heights</t>
  </si>
  <si>
    <t>Covington</t>
  </si>
  <si>
    <t>Danville</t>
  </si>
  <si>
    <t>Emporia</t>
  </si>
  <si>
    <t>Fairfax</t>
  </si>
  <si>
    <t>Falls Church</t>
  </si>
  <si>
    <t>Franklin</t>
  </si>
  <si>
    <t>Fredericksburg</t>
  </si>
  <si>
    <t>Galax</t>
  </si>
  <si>
    <t>Hampton</t>
  </si>
  <si>
    <t>Harrisonburg</t>
  </si>
  <si>
    <t>Hopewell</t>
  </si>
  <si>
    <t>Lexington</t>
  </si>
  <si>
    <t>Lynchburg</t>
  </si>
  <si>
    <t>Fauquier</t>
  </si>
  <si>
    <t>Floyd</t>
  </si>
  <si>
    <t>Fluvanna</t>
  </si>
  <si>
    <t>Frederick</t>
  </si>
  <si>
    <t>Giles</t>
  </si>
  <si>
    <t>Gloucester</t>
  </si>
  <si>
    <t>Goochland</t>
  </si>
  <si>
    <t>Grayson</t>
  </si>
  <si>
    <t>Greene</t>
  </si>
  <si>
    <t>Halifax</t>
  </si>
  <si>
    <t>Hanover</t>
  </si>
  <si>
    <t>Henrico</t>
  </si>
  <si>
    <t>Henry</t>
  </si>
  <si>
    <t>Highland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</si>
  <si>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</si>
  <si>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</si>
  <si>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</si>
  <si>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</si>
  <si>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</si>
  <si>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</si>
  <si>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</si>
  <si>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</si>
  <si>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</si>
  <si>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</si>
  <si>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</si>
  <si>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</si>
  <si>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</si>
  <si>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</si>
  <si>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</si>
  <si>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</si>
  <si>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</si>
  <si>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</si>
  <si>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</si>
  <si>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</si>
  <si>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</si>
  <si>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</si>
  <si>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</si>
  <si>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</si>
  <si>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</si>
  <si>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</si>
  <si>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</si>
  <si>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</si>
  <si>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</si>
  <si>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</si>
  <si>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</si>
  <si>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</si>
  <si>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</si>
  <si>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</si>
  <si>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</si>
  <si>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</si>
  <si>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</si>
  <si>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</si>
  <si>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</si>
  <si>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</si>
  <si>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</si>
  <si>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</si>
  <si>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</si>
  <si>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</si>
  <si>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</si>
  <si>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</si>
  <si>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</si>
  <si>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</si>
  <si>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</si>
  <si>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Manassas</t>
  </si>
  <si>
    <t>Manassas Park</t>
  </si>
  <si>
    <t>Martinsville</t>
  </si>
  <si>
    <t>Newport News</t>
  </si>
  <si>
    <t>Norfolk</t>
  </si>
  <si>
    <t>Norton</t>
  </si>
  <si>
    <t>Petersburg</t>
  </si>
  <si>
    <t>Poquoson</t>
  </si>
  <si>
    <t>Portsmouth</t>
  </si>
  <si>
    <t>Radford</t>
  </si>
  <si>
    <t>Salem</t>
  </si>
  <si>
    <t>Staunton</t>
  </si>
  <si>
    <t>Suffolk</t>
  </si>
  <si>
    <t>Virginia Beach</t>
  </si>
  <si>
    <t>Waynesboro</t>
  </si>
  <si>
    <t>Williamsburg</t>
  </si>
  <si>
    <t>Winchester</t>
  </si>
  <si>
    <t>Locality</t>
  </si>
  <si>
    <t>ADM Composite Index</t>
  </si>
  <si>
    <t>PC Composite Index</t>
  </si>
  <si>
    <t>Local Composite Index</t>
  </si>
  <si>
    <t>Adj. Gross Income</t>
  </si>
  <si>
    <t>Taxable Retail sales</t>
  </si>
  <si>
    <t>County School ADM</t>
  </si>
  <si>
    <t>County Population</t>
  </si>
  <si>
    <t>Project Investment</t>
  </si>
  <si>
    <t>Baseline Taxable Real Property</t>
  </si>
  <si>
    <t>Baseline Composite Index</t>
  </si>
  <si>
    <t>Composite Index
(With PV)</t>
  </si>
  <si>
    <t>BEDFORD</t>
  </si>
  <si>
    <t>Source:</t>
  </si>
  <si>
    <t>http://www.yesvirginia.org/Content/pdf/guides/Guide%20to%20Local%20Taxes%202016-2017.pdf</t>
  </si>
  <si>
    <t>Yes</t>
  </si>
  <si>
    <t>Locally Funded School Budget
(Baseline)</t>
  </si>
  <si>
    <t>Total
Budget</t>
  </si>
  <si>
    <t>Increase in Tax revenue</t>
  </si>
  <si>
    <t>Increase in Local Contribution</t>
  </si>
  <si>
    <t>Net Increase
(Decrease) in Revenue</t>
  </si>
  <si>
    <t>N/A</t>
  </si>
  <si>
    <t>SALEM</t>
  </si>
  <si>
    <t>POQUOSON</t>
  </si>
  <si>
    <t>MANASSAS</t>
  </si>
  <si>
    <t>MANASSAS PARK</t>
  </si>
  <si>
    <t>COLONIAL BEACH</t>
  </si>
  <si>
    <t>WEST POINT</t>
  </si>
  <si>
    <t>ADJUSTED GROSS INCOME (Including Nonresident AGI)</t>
  </si>
  <si>
    <t>ADJUSTED GROSS INCOME (Excluding Nonresident AGI*)</t>
  </si>
  <si>
    <t>AGI For Calculations</t>
  </si>
  <si>
    <t>County Revenue from Project</t>
  </si>
  <si>
    <t>Taxable Real Property With Project</t>
  </si>
  <si>
    <t>NPV</t>
  </si>
  <si>
    <t>SCC Depreciation Schedule</t>
  </si>
  <si>
    <t>SUM</t>
  </si>
  <si>
    <t>Project Name</t>
  </si>
  <si>
    <t>Project Location</t>
  </si>
  <si>
    <t>Inputs</t>
  </si>
  <si>
    <t>Output Metrics</t>
  </si>
  <si>
    <t>Assumed Project Life</t>
  </si>
  <si>
    <t>True Value (with Project)</t>
  </si>
  <si>
    <t>Project Life</t>
  </si>
  <si>
    <t xml:space="preserve">Composite Index With Project </t>
  </si>
  <si>
    <t>State Value Escalators</t>
  </si>
  <si>
    <t>Local Value Escalators</t>
  </si>
  <si>
    <t>Assumed Discount Rate</t>
  </si>
  <si>
    <t>http://www.doe.virginia.gov/school_finance/budget/compositeindex_local_abilitypay/2018-2020/compositeindex1820.xlsx</t>
  </si>
  <si>
    <t>Local True Values</t>
  </si>
  <si>
    <t>Gross Income</t>
  </si>
  <si>
    <t>Local Taxable Retail Sales</t>
  </si>
  <si>
    <t>+</t>
  </si>
  <si>
    <t>=</t>
  </si>
  <si>
    <t>Total State Taxable Retail Sales</t>
  </si>
  <si>
    <t>Total State ADM</t>
  </si>
  <si>
    <t>Local Population</t>
  </si>
  <si>
    <t>State Population</t>
  </si>
  <si>
    <t>Divisional ADM</t>
  </si>
  <si>
    <t>*</t>
  </si>
  <si>
    <t xml:space="preserve"> Local Adjusted Gross Income</t>
  </si>
  <si>
    <t xml:space="preserve"> Total State Adjusted Gross Income</t>
  </si>
  <si>
    <t xml:space="preserve"> Statewide Total of Local True Values</t>
  </si>
  <si>
    <t>Per Capita Composite Index</t>
  </si>
  <si>
    <t xml:space="preserve">(.6667 X ADM Composite Index)  +  (.3333 X Per Capita Composite Index) </t>
  </si>
  <si>
    <t>Local Conmposite Index * .45</t>
  </si>
  <si>
    <t>Final Composite Index</t>
  </si>
  <si>
    <t>Composite Index Calculations</t>
  </si>
  <si>
    <t>County Revenue Calculations</t>
  </si>
  <si>
    <t>Value After Exemption = Original Cost * (1-80%)</t>
  </si>
  <si>
    <t>Market Value = (Value After Exemption)*(Market Value Taxable)</t>
  </si>
  <si>
    <t>Assessed Value = (Market Value) * Depreciation</t>
  </si>
  <si>
    <t>County Revenue = (Assessed Value) *(Assessed Valuation)</t>
  </si>
  <si>
    <t>School Budget Changes</t>
  </si>
  <si>
    <t>Assement Ratio
(% of Fair 
Market Value Taxable)</t>
  </si>
  <si>
    <t>Nominal Tax Rate Per $100 of Assessed Valuation</t>
  </si>
  <si>
    <t>Effective Tax Rate (Assessment Ratio X Nominal Tax Rate)</t>
  </si>
  <si>
    <t>Nominal Tax Rate</t>
  </si>
  <si>
    <t>Assessment Ratio</t>
  </si>
  <si>
    <t>SCC
Valuation</t>
  </si>
  <si>
    <t>Effective Tax Rate
(per $100)</t>
  </si>
  <si>
    <t>Project Value after Exemption</t>
  </si>
  <si>
    <r>
      <t xml:space="preserve">Project Effective Value
</t>
    </r>
    <r>
      <rPr>
        <sz val="11"/>
        <color theme="1"/>
        <rFont val="Calibri"/>
        <family val="2"/>
        <scheme val="minor"/>
      </rPr>
      <t>(Assessed Value)
*(Assessment Ratio)</t>
    </r>
  </si>
  <si>
    <t>Increase In Land Value</t>
  </si>
  <si>
    <t>Total increase in Taxable Property</t>
  </si>
  <si>
    <t>RLE for SOQ</t>
  </si>
  <si>
    <t>RLM for Lottery Funds</t>
  </si>
  <si>
    <t>Total</t>
  </si>
  <si>
    <t>Sources:</t>
  </si>
  <si>
    <t>,329,104</t>
  </si>
  <si>
    <t>PV Project</t>
  </si>
  <si>
    <t>Outputs</t>
  </si>
  <si>
    <t>Project Data</t>
  </si>
  <si>
    <t>M&amp;T Tax revenue from Project</t>
  </si>
  <si>
    <t>Additional revenue from increased land value</t>
  </si>
  <si>
    <t>Land lease rate with solar</t>
  </si>
  <si>
    <t>Maximum Value of land</t>
  </si>
  <si>
    <t>Usable Area for Solar</t>
  </si>
  <si>
    <t>Total Land Value Increase</t>
  </si>
  <si>
    <t>Cap Rate</t>
  </si>
  <si>
    <t>Total Additional Revenue</t>
  </si>
  <si>
    <t>Land Assumptions</t>
  </si>
  <si>
    <r>
      <t>Baseline FMV of land</t>
    </r>
    <r>
      <rPr>
        <vertAlign val="superscript"/>
        <sz val="11"/>
        <color theme="1"/>
        <rFont val="Calibri"/>
        <family val="2"/>
        <scheme val="minor"/>
      </rPr>
      <t>4</t>
    </r>
  </si>
  <si>
    <t>http://usda.mannlib.cornell.edu/usda/current/AgriLandVa/AgriLandVa-08-02-2018.pdf</t>
  </si>
  <si>
    <t>Cap on Land Value?</t>
  </si>
  <si>
    <t>Land Values</t>
  </si>
  <si>
    <t>Year 1 Fiscal Impacts</t>
  </si>
  <si>
    <t>2018 Matched Local Funds for Schools</t>
  </si>
  <si>
    <t>2018 Matched Funds with Solar Project</t>
  </si>
  <si>
    <t>Composite Index With Solar Project</t>
  </si>
  <si>
    <t>Locally Funded School Budget
(W/Solar)</t>
  </si>
  <si>
    <t>State Matched  Funds</t>
  </si>
  <si>
    <t>Local School Budget Increases</t>
  </si>
  <si>
    <t>Increase in County Revenue</t>
  </si>
  <si>
    <t>Revenue Increases</t>
  </si>
  <si>
    <t>Net Increase (Decrease) in Revenue from Project</t>
  </si>
  <si>
    <t xml:space="preserve">https://rga.lis.virginia.gov/Published/2018/RD43/PDF </t>
  </si>
  <si>
    <r>
      <t>2018 Matched Local Funds for Schools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</si>
  <si>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Baseline Locality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</si>
  <si>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State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</si>
  <si>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 xml:space="preserve">http://www.doe.virginia.gov/school_finance/budget/compositeindex_local_abilitypay/2018-2020/compositeindex1820.xlsx </t>
  </si>
  <si>
    <t xml:space="preserve">http://www.yesvirginia.org/Content/pdf/guides/Guide%20to%20Local%20Taxes%202016-2017.pdf </t>
  </si>
  <si>
    <r>
      <t>Nominal Tax Rate</t>
    </r>
    <r>
      <rPr>
        <vertAlign val="superscript"/>
        <sz val="11"/>
        <color theme="1"/>
        <rFont val="Calibri"/>
        <family val="2"/>
        <scheme val="minor"/>
      </rPr>
      <t xml:space="preserve">3 </t>
    </r>
  </si>
  <si>
    <r>
      <t>Assessment Ratio</t>
    </r>
    <r>
      <rPr>
        <vertAlign val="superscript"/>
        <sz val="11"/>
        <color theme="1"/>
        <rFont val="Calibri"/>
        <family val="2"/>
        <scheme val="minor"/>
      </rPr>
      <t>3</t>
    </r>
  </si>
  <si>
    <t>Net Increase in Locality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</si>
</sst>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"/>
    <numFmt numFmtId="166" formatCode="0.0%"/>
    <numFmt numFmtId="167" formatCode="\$0.00"/>
    <numFmt numFmtId="168" formatCode="&quot;$&quot;#,##0"/>
    <numFmt numFmtId="169" formatCode="#,###"/>
    <numFmt numFmtId="170" formatCode="0.000%"/>
    <numFmt numFmtId="171" formatCode="&quot;$&quot;0.00\ &quot;per $100&quot;"/>
    <numFmt numFmtId="172" formatCode="\ #\ &quot;years&quot;"/>
    <numFmt numFmtId="173" formatCode="&quot;$&quot;#,##0.000_);[Red]\(&quot;$&quot;#,##0.000\)"/>
    <numFmt numFmtId="174" formatCode="0.0000000000"/>
    <numFmt numFmtId="175" formatCode=".0"/>
    <numFmt numFmtId="176" formatCode="&quot;$&quot;#\ &quot;/Acre&quot;"/>
    <numFmt numFmtId="177" formatCode="&quot;$&quot;#,##0.0000"/>
    <numFmt numFmtId="178" formatCode="&quot;$&quot;#,##0\ &quot;/acre/yr&quot;"/>
    <numFmt numFmtId="179" formatCode="&quot;$&quot;#,###\ &quot;/Acre&quot;"/>
    <numFmt numFmtId="180" formatCode="#,###\ &quot;Acres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u/>
      <sz val="9"/>
      <color indexed="12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u/>
      <sz val="12"/>
      <name val="Arial"/>
      <family val="2"/>
    </font>
    <font>
      <sz val="72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0" fontId="8" fillId="0" borderId="0"/>
    <xf numFmtId="43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16" fillId="5" borderId="0" applyNumberFormat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8" fillId="0" borderId="0">
      <alignment wrapText="1"/>
    </xf>
    <xf numFmtId="0" fontId="8" fillId="0" borderId="0">
      <alignment wrapText="1"/>
    </xf>
    <xf numFmtId="0" fontId="11" fillId="0" borderId="0"/>
    <xf numFmtId="0" fontId="18" fillId="0" borderId="0"/>
    <xf numFmtId="0" fontId="11" fillId="0" borderId="0"/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2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168" fontId="0" fillId="0" borderId="0" xfId="2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8" fontId="0" fillId="2" borderId="0" xfId="2" applyNumberFormat="1" applyFont="1" applyFill="1" applyAlignment="1">
      <alignment horizontal="center"/>
    </xf>
    <xf numFmtId="49" fontId="9" fillId="0" borderId="3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Alignment="1">
      <alignment horizontal="center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169" fontId="0" fillId="0" borderId="0" xfId="1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9" fontId="0" fillId="2" borderId="0" xfId="0" applyNumberFormat="1" applyFill="1" applyAlignment="1">
      <alignment horizontal="center"/>
    </xf>
    <xf numFmtId="49" fontId="9" fillId="4" borderId="3" xfId="1" applyNumberFormat="1" applyFont="1" applyFill="1" applyBorder="1" applyAlignment="1" applyProtection="1">
      <alignment horizontal="center" vertical="center" wrapText="1"/>
    </xf>
    <xf numFmtId="168" fontId="2" fillId="0" borderId="0" xfId="2" applyNumberFormat="1" applyFont="1" applyAlignment="1">
      <alignment horizontal="center"/>
    </xf>
    <xf numFmtId="168" fontId="2" fillId="4" borderId="0" xfId="2" applyNumberFormat="1" applyFont="1" applyFill="1" applyAlignment="1">
      <alignment horizontal="center"/>
    </xf>
    <xf numFmtId="169" fontId="2" fillId="0" borderId="0" xfId="2" applyNumberFormat="1" applyFont="1" applyAlignment="1">
      <alignment horizontal="center"/>
    </xf>
    <xf numFmtId="168" fontId="16" fillId="5" borderId="0" xfId="12" applyNumberFormat="1" applyAlignment="1">
      <alignment horizontal="center"/>
    </xf>
    <xf numFmtId="0" fontId="16" fillId="5" borderId="0" xfId="12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1" applyNumberFormat="1" applyFont="1" applyFill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0" fontId="23" fillId="0" borderId="0" xfId="4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8" fillId="3" borderId="0" xfId="8" applyFont="1" applyFill="1" applyBorder="1" applyProtection="1">
      <protection hidden="1"/>
    </xf>
    <xf numFmtId="0" fontId="25" fillId="3" borderId="0" xfId="8" applyFont="1" applyFill="1" applyBorder="1" applyAlignment="1" applyProtection="1">
      <alignment vertical="center"/>
      <protection hidden="1"/>
    </xf>
    <xf numFmtId="0" fontId="24" fillId="3" borderId="0" xfId="8" applyFont="1" applyFill="1" applyBorder="1" applyAlignment="1" applyProtection="1">
      <alignment horizontal="center"/>
      <protection hidden="1"/>
    </xf>
    <xf numFmtId="0" fontId="8" fillId="3" borderId="0" xfId="8" applyFont="1" applyFill="1" applyBorder="1" applyAlignment="1" applyProtection="1">
      <alignment horizontal="center"/>
      <protection hidden="1"/>
    </xf>
    <xf numFmtId="175" fontId="8" fillId="3" borderId="0" xfId="8" applyNumberFormat="1" applyFont="1" applyFill="1" applyBorder="1" applyAlignment="1" applyProtection="1">
      <alignment horizontal="center" vertical="center"/>
      <protection hidden="1"/>
    </xf>
    <xf numFmtId="0" fontId="8" fillId="3" borderId="0" xfId="8" applyFont="1" applyFill="1" applyBorder="1" applyAlignment="1" applyProtection="1">
      <alignment horizontal="left"/>
      <protection hidden="1"/>
    </xf>
    <xf numFmtId="0" fontId="8" fillId="3" borderId="0" xfId="8" applyFont="1" applyFill="1" applyBorder="1" applyAlignment="1" applyProtection="1">
      <protection hidden="1"/>
    </xf>
    <xf numFmtId="0" fontId="8" fillId="3" borderId="0" xfId="8" applyFont="1" applyFill="1" applyBorder="1" applyAlignment="1" applyProtection="1">
      <alignment horizontal="centerContinuous"/>
      <protection hidden="1"/>
    </xf>
    <xf numFmtId="0" fontId="26" fillId="3" borderId="0" xfId="0" applyFont="1" applyFill="1" applyBorder="1"/>
    <xf numFmtId="0" fontId="14" fillId="3" borderId="0" xfId="0" applyFont="1" applyFill="1" applyBorder="1" applyAlignment="1">
      <alignment horizontal="right"/>
    </xf>
    <xf numFmtId="0" fontId="8" fillId="3" borderId="18" xfId="8" applyFont="1" applyFill="1" applyBorder="1" applyProtection="1">
      <protection hidden="1"/>
    </xf>
    <xf numFmtId="0" fontId="8" fillId="3" borderId="18" xfId="8" applyFont="1" applyFill="1" applyBorder="1" applyAlignment="1" applyProtection="1">
      <alignment horizontal="center"/>
      <protection hidden="1"/>
    </xf>
    <xf numFmtId="0" fontId="26" fillId="3" borderId="9" xfId="0" applyFont="1" applyFill="1" applyBorder="1"/>
    <xf numFmtId="0" fontId="26" fillId="3" borderId="18" xfId="0" applyFont="1" applyFill="1" applyBorder="1"/>
    <xf numFmtId="0" fontId="26" fillId="3" borderId="10" xfId="0" applyFont="1" applyFill="1" applyBorder="1"/>
    <xf numFmtId="0" fontId="26" fillId="3" borderId="11" xfId="0" applyFont="1" applyFill="1" applyBorder="1"/>
    <xf numFmtId="0" fontId="26" fillId="3" borderId="12" xfId="0" applyFont="1" applyFill="1" applyBorder="1"/>
    <xf numFmtId="0" fontId="26" fillId="3" borderId="7" xfId="0" applyFont="1" applyFill="1" applyBorder="1"/>
    <xf numFmtId="0" fontId="26" fillId="3" borderId="17" xfId="0" applyFont="1" applyFill="1" applyBorder="1"/>
    <xf numFmtId="0" fontId="26" fillId="3" borderId="8" xfId="0" applyFont="1" applyFill="1" applyBorder="1"/>
    <xf numFmtId="0" fontId="27" fillId="3" borderId="11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12" xfId="0" applyFont="1" applyFill="1" applyBorder="1" applyAlignment="1">
      <alignment horizontal="center"/>
    </xf>
    <xf numFmtId="0" fontId="0" fillId="3" borderId="0" xfId="0" applyFill="1"/>
    <xf numFmtId="0" fontId="0" fillId="3" borderId="9" xfId="0" applyFill="1" applyBorder="1"/>
    <xf numFmtId="0" fontId="0" fillId="3" borderId="11" xfId="0" applyFill="1" applyBorder="1"/>
    <xf numFmtId="171" fontId="0" fillId="3" borderId="12" xfId="0" applyNumberFormat="1" applyFont="1" applyFill="1" applyBorder="1" applyAlignment="1">
      <alignment horizontal="center" vertical="center"/>
    </xf>
    <xf numFmtId="0" fontId="0" fillId="3" borderId="0" xfId="0" applyFont="1" applyFill="1"/>
    <xf numFmtId="3" fontId="0" fillId="3" borderId="0" xfId="0" applyNumberFormat="1" applyFill="1" applyAlignment="1">
      <alignment horizontal="center"/>
    </xf>
    <xf numFmtId="0" fontId="0" fillId="3" borderId="7" xfId="0" applyFill="1" applyBorder="1"/>
    <xf numFmtId="0" fontId="0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168" fontId="13" fillId="3" borderId="0" xfId="0" applyNumberFormat="1" applyFont="1" applyFill="1" applyBorder="1" applyAlignment="1">
      <alignment horizontal="center"/>
    </xf>
    <xf numFmtId="168" fontId="0" fillId="3" borderId="0" xfId="0" applyNumberFormat="1" applyFill="1"/>
    <xf numFmtId="168" fontId="0" fillId="3" borderId="12" xfId="2" applyNumberFormat="1" applyFont="1" applyFill="1" applyBorder="1" applyAlignment="1">
      <alignment horizontal="center"/>
    </xf>
    <xf numFmtId="168" fontId="0" fillId="3" borderId="8" xfId="2" applyNumberFormat="1" applyFont="1" applyFill="1" applyBorder="1" applyAlignment="1">
      <alignment horizontal="center"/>
    </xf>
    <xf numFmtId="2" fontId="0" fillId="3" borderId="12" xfId="1" applyNumberFormat="1" applyFont="1" applyFill="1" applyBorder="1" applyAlignment="1">
      <alignment horizontal="center"/>
    </xf>
    <xf numFmtId="168" fontId="2" fillId="3" borderId="8" xfId="0" applyNumberFormat="1" applyFont="1" applyFill="1" applyBorder="1" applyAlignment="1">
      <alignment horizontal="center"/>
    </xf>
    <xf numFmtId="169" fontId="0" fillId="3" borderId="12" xfId="1" applyNumberFormat="1" applyFont="1" applyFill="1" applyBorder="1" applyAlignment="1">
      <alignment horizontal="center"/>
    </xf>
    <xf numFmtId="168" fontId="0" fillId="3" borderId="16" xfId="0" applyNumberFormat="1" applyFont="1" applyFill="1" applyBorder="1" applyAlignment="1">
      <alignment horizontal="center"/>
    </xf>
    <xf numFmtId="168" fontId="0" fillId="3" borderId="12" xfId="0" applyNumberFormat="1" applyFont="1" applyFill="1" applyBorder="1" applyAlignment="1">
      <alignment horizontal="center"/>
    </xf>
    <xf numFmtId="0" fontId="2" fillId="3" borderId="7" xfId="0" applyFont="1" applyFill="1" applyBorder="1"/>
    <xf numFmtId="165" fontId="0" fillId="3" borderId="12" xfId="1" applyNumberFormat="1" applyFont="1" applyFill="1" applyBorder="1" applyAlignment="1">
      <alignment horizontal="center"/>
    </xf>
    <xf numFmtId="165" fontId="0" fillId="3" borderId="8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168" fontId="3" fillId="3" borderId="12" xfId="2" applyNumberFormat="1" applyFont="1" applyFill="1" applyBorder="1" applyAlignment="1" applyProtection="1">
      <alignment horizontal="center"/>
      <protection locked="0"/>
    </xf>
    <xf numFmtId="9" fontId="3" fillId="3" borderId="12" xfId="0" applyNumberFormat="1" applyFont="1" applyFill="1" applyBorder="1" applyAlignment="1" applyProtection="1">
      <alignment horizontal="center" vertical="center"/>
      <protection locked="0"/>
    </xf>
    <xf numFmtId="172" fontId="3" fillId="3" borderId="12" xfId="0" applyNumberFormat="1" applyFont="1" applyFill="1" applyBorder="1" applyAlignment="1" applyProtection="1">
      <alignment horizontal="center" vertical="center"/>
      <protection locked="0"/>
    </xf>
    <xf numFmtId="17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23" fillId="3" borderId="0" xfId="4" applyFont="1" applyFill="1" applyAlignment="1">
      <alignment horizontal="left" vertical="center"/>
    </xf>
    <xf numFmtId="3" fontId="8" fillId="3" borderId="0" xfId="0" applyNumberFormat="1" applyFont="1" applyFill="1" applyAlignment="1">
      <alignment horizontal="center" vertical="center"/>
    </xf>
    <xf numFmtId="3" fontId="8" fillId="3" borderId="0" xfId="1" applyNumberFormat="1" applyFont="1" applyFill="1" applyAlignment="1">
      <alignment horizontal="center" vertical="center"/>
    </xf>
    <xf numFmtId="0" fontId="14" fillId="3" borderId="0" xfId="0" applyFont="1" applyFill="1"/>
    <xf numFmtId="0" fontId="14" fillId="3" borderId="0" xfId="0" applyFont="1" applyFill="1" applyAlignment="1">
      <alignment vertical="center"/>
    </xf>
    <xf numFmtId="0" fontId="7" fillId="3" borderId="0" xfId="4" applyFill="1" applyAlignment="1">
      <alignment horizontal="center"/>
    </xf>
    <xf numFmtId="0" fontId="7" fillId="3" borderId="0" xfId="4" applyFill="1" applyAlignment="1">
      <alignment horizontal="left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left" vertical="top" wrapText="1"/>
    </xf>
    <xf numFmtId="166" fontId="6" fillId="3" borderId="0" xfId="0" applyNumberFormat="1" applyFont="1" applyFill="1" applyBorder="1" applyAlignment="1">
      <alignment horizontal="center" vertical="top" shrinkToFit="1"/>
    </xf>
    <xf numFmtId="167" fontId="6" fillId="3" borderId="0" xfId="0" applyNumberFormat="1" applyFont="1" applyFill="1" applyBorder="1" applyAlignment="1">
      <alignment horizontal="center" vertical="top" shrinkToFit="1"/>
    </xf>
    <xf numFmtId="0" fontId="0" fillId="3" borderId="0" xfId="0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8" fontId="0" fillId="3" borderId="0" xfId="0" applyNumberFormat="1" applyFill="1" applyAlignment="1">
      <alignment horizontal="center"/>
    </xf>
    <xf numFmtId="9" fontId="0" fillId="3" borderId="0" xfId="3" applyFont="1" applyFill="1" applyAlignment="1">
      <alignment horizontal="center"/>
    </xf>
    <xf numFmtId="4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6" fontId="0" fillId="3" borderId="0" xfId="0" applyNumberFormat="1" applyFill="1" applyAlignment="1">
      <alignment horizontal="center"/>
    </xf>
    <xf numFmtId="173" fontId="0" fillId="3" borderId="0" xfId="0" applyNumberFormat="1" applyFill="1"/>
    <xf numFmtId="168" fontId="0" fillId="3" borderId="11" xfId="2" applyNumberFormat="1" applyFont="1" applyFill="1" applyBorder="1" applyAlignment="1">
      <alignment horizontal="center"/>
    </xf>
    <xf numFmtId="168" fontId="0" fillId="3" borderId="0" xfId="2" applyNumberFormat="1" applyFont="1" applyFill="1" applyBorder="1" applyAlignment="1">
      <alignment horizontal="center"/>
    </xf>
    <xf numFmtId="2" fontId="0" fillId="3" borderId="0" xfId="1" applyNumberFormat="1" applyFont="1" applyFill="1" applyBorder="1" applyAlignment="1">
      <alignment horizontal="center"/>
    </xf>
    <xf numFmtId="1" fontId="0" fillId="3" borderId="12" xfId="1" applyNumberFormat="1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 vertical="center"/>
    </xf>
    <xf numFmtId="174" fontId="0" fillId="3" borderId="0" xfId="0" applyNumberFormat="1" applyFill="1"/>
    <xf numFmtId="9" fontId="0" fillId="3" borderId="12" xfId="0" applyNumberFormat="1" applyFont="1" applyFill="1" applyBorder="1" applyAlignment="1">
      <alignment horizontal="center" vertical="center"/>
    </xf>
    <xf numFmtId="172" fontId="0" fillId="3" borderId="12" xfId="0" applyNumberFormat="1" applyFont="1" applyFill="1" applyBorder="1" applyAlignment="1">
      <alignment horizontal="center" vertical="center"/>
    </xf>
    <xf numFmtId="6" fontId="0" fillId="3" borderId="12" xfId="0" applyNumberFormat="1" applyFill="1" applyBorder="1" applyAlignment="1">
      <alignment horizontal="center"/>
    </xf>
    <xf numFmtId="6" fontId="0" fillId="3" borderId="8" xfId="0" applyNumberFormat="1" applyFill="1" applyBorder="1" applyAlignment="1">
      <alignment horizontal="center"/>
    </xf>
    <xf numFmtId="9" fontId="3" fillId="3" borderId="8" xfId="0" applyNumberFormat="1" applyFont="1" applyFill="1" applyBorder="1" applyAlignment="1" applyProtection="1">
      <alignment horizontal="center" vertical="center"/>
      <protection locked="0"/>
    </xf>
    <xf numFmtId="6" fontId="0" fillId="3" borderId="0" xfId="0" applyNumberFormat="1" applyFill="1"/>
    <xf numFmtId="6" fontId="0" fillId="3" borderId="0" xfId="0" applyNumberFormat="1" applyFill="1" applyAlignment="1">
      <alignment horizontal="center" vertical="center"/>
    </xf>
    <xf numFmtId="168" fontId="0" fillId="3" borderId="7" xfId="2" applyNumberFormat="1" applyFont="1" applyFill="1" applyBorder="1" applyAlignment="1">
      <alignment horizontal="center"/>
    </xf>
    <xf numFmtId="168" fontId="0" fillId="3" borderId="17" xfId="2" applyNumberFormat="1" applyFont="1" applyFill="1" applyBorder="1" applyAlignment="1">
      <alignment horizontal="center"/>
    </xf>
    <xf numFmtId="168" fontId="0" fillId="0" borderId="0" xfId="0" applyNumberFormat="1"/>
    <xf numFmtId="0" fontId="7" fillId="0" borderId="0" xfId="4"/>
    <xf numFmtId="3" fontId="0" fillId="0" borderId="0" xfId="0" applyNumberFormat="1" applyAlignment="1">
      <alignment horizontal="center"/>
    </xf>
    <xf numFmtId="0" fontId="8" fillId="0" borderId="0" xfId="0" applyFont="1" applyFill="1" applyAlignment="1">
      <alignment horizontal="center" vertical="center"/>
    </xf>
    <xf numFmtId="16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77" fontId="0" fillId="0" borderId="0" xfId="0" applyNumberFormat="1"/>
    <xf numFmtId="179" fontId="3" fillId="3" borderId="0" xfId="2" applyNumberFormat="1" applyFont="1" applyFill="1" applyAlignment="1">
      <alignment horizontal="center"/>
    </xf>
    <xf numFmtId="0" fontId="0" fillId="3" borderId="15" xfId="0" applyFill="1" applyBorder="1"/>
    <xf numFmtId="166" fontId="0" fillId="3" borderId="12" xfId="3" applyNumberFormat="1" applyFont="1" applyFill="1" applyBorder="1" applyAlignment="1">
      <alignment horizontal="center" vertical="center"/>
    </xf>
    <xf numFmtId="0" fontId="0" fillId="3" borderId="11" xfId="0" applyFont="1" applyFill="1" applyBorder="1"/>
    <xf numFmtId="176" fontId="3" fillId="0" borderId="12" xfId="2" applyNumberFormat="1" applyFont="1" applyBorder="1" applyAlignment="1">
      <alignment horizontal="center"/>
    </xf>
    <xf numFmtId="9" fontId="3" fillId="3" borderId="12" xfId="0" applyNumberFormat="1" applyFont="1" applyFill="1" applyBorder="1" applyAlignment="1">
      <alignment horizontal="center"/>
    </xf>
    <xf numFmtId="178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79" fontId="3" fillId="0" borderId="12" xfId="2" applyNumberFormat="1" applyFont="1" applyBorder="1" applyAlignment="1">
      <alignment horizontal="center"/>
    </xf>
    <xf numFmtId="180" fontId="3" fillId="3" borderId="12" xfId="0" applyNumberFormat="1" applyFont="1" applyFill="1" applyBorder="1" applyAlignment="1">
      <alignment horizontal="center"/>
    </xf>
    <xf numFmtId="179" fontId="3" fillId="0" borderId="8" xfId="2" applyNumberFormat="1" applyFont="1" applyBorder="1" applyAlignment="1">
      <alignment horizontal="center"/>
    </xf>
    <xf numFmtId="0" fontId="0" fillId="3" borderId="0" xfId="0" applyFill="1" applyBorder="1"/>
    <xf numFmtId="0" fontId="17" fillId="3" borderId="0" xfId="0" applyFont="1" applyFill="1" applyBorder="1" applyAlignment="1"/>
    <xf numFmtId="2" fontId="0" fillId="3" borderId="0" xfId="0" applyNumberFormat="1" applyFill="1" applyBorder="1"/>
    <xf numFmtId="165" fontId="0" fillId="3" borderId="12" xfId="0" applyNumberFormat="1" applyFont="1" applyFill="1" applyBorder="1" applyAlignment="1">
      <alignment horizontal="center" vertical="center"/>
    </xf>
    <xf numFmtId="6" fontId="0" fillId="3" borderId="0" xfId="0" applyNumberFormat="1" applyFont="1" applyFill="1" applyAlignment="1">
      <alignment horizontal="center"/>
    </xf>
    <xf numFmtId="168" fontId="0" fillId="3" borderId="8" xfId="0" applyNumberFormat="1" applyFont="1" applyFill="1" applyBorder="1" applyAlignment="1">
      <alignment horizontal="center"/>
    </xf>
    <xf numFmtId="0" fontId="2" fillId="3" borderId="0" xfId="0" applyFont="1" applyFill="1"/>
    <xf numFmtId="0" fontId="7" fillId="3" borderId="0" xfId="4" applyFill="1"/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75" fontId="8" fillId="3" borderId="0" xfId="8" applyNumberFormat="1" applyFont="1" applyFill="1" applyBorder="1" applyAlignment="1" applyProtection="1">
      <alignment horizontal="center" vertical="center"/>
      <protection hidden="1"/>
    </xf>
    <xf numFmtId="0" fontId="8" fillId="3" borderId="1" xfId="8" applyFont="1" applyFill="1" applyBorder="1" applyAlignment="1" applyProtection="1">
      <alignment horizontal="center"/>
      <protection hidden="1"/>
    </xf>
    <xf numFmtId="0" fontId="24" fillId="3" borderId="0" xfId="8" applyFont="1" applyFill="1" applyBorder="1" applyAlignment="1" applyProtection="1">
      <alignment horizontal="center"/>
      <protection hidden="1"/>
    </xf>
    <xf numFmtId="0" fontId="24" fillId="3" borderId="2" xfId="8" applyFont="1" applyFill="1" applyBorder="1" applyAlignment="1" applyProtection="1">
      <alignment horizontal="center"/>
      <protection hidden="1"/>
    </xf>
    <xf numFmtId="0" fontId="8" fillId="3" borderId="18" xfId="8" applyFont="1" applyFill="1" applyBorder="1" applyAlignment="1" applyProtection="1">
      <alignment horizontal="center"/>
      <protection hidden="1"/>
    </xf>
    <xf numFmtId="0" fontId="8" fillId="3" borderId="0" xfId="8" applyFont="1" applyFill="1" applyBorder="1" applyAlignment="1" applyProtection="1">
      <alignment horizontal="center" vertical="center"/>
      <protection hidden="1"/>
    </xf>
    <xf numFmtId="0" fontId="8" fillId="3" borderId="0" xfId="8" applyFont="1" applyFill="1" applyBorder="1" applyAlignment="1" applyProtection="1">
      <alignment horizontal="center"/>
      <protection hidden="1"/>
    </xf>
    <xf numFmtId="0" fontId="8" fillId="3" borderId="0" xfId="8" applyFont="1" applyFill="1" applyBorder="1" applyAlignment="1" applyProtection="1">
      <alignment horizontal="right"/>
      <protection hidden="1"/>
    </xf>
    <xf numFmtId="0" fontId="8" fillId="3" borderId="0" xfId="8" applyFont="1" applyFill="1" applyBorder="1" applyAlignment="1" applyProtection="1">
      <alignment horizontal="left"/>
      <protection hidden="1"/>
    </xf>
    <xf numFmtId="0" fontId="27" fillId="3" borderId="4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8" fillId="3" borderId="0" xfId="8" applyFont="1" applyFill="1" applyBorder="1" applyAlignment="1" applyProtection="1">
      <alignment horizontal="left" vertical="center"/>
      <protection hidden="1"/>
    </xf>
    <xf numFmtId="0" fontId="8" fillId="3" borderId="12" xfId="8" applyFont="1" applyFill="1" applyBorder="1" applyAlignment="1" applyProtection="1">
      <alignment horizontal="left" vertical="center"/>
      <protection hidden="1"/>
    </xf>
    <xf numFmtId="0" fontId="8" fillId="3" borderId="12" xfId="8" applyFont="1" applyFill="1" applyBorder="1" applyAlignment="1" applyProtection="1">
      <alignment horizontal="left"/>
      <protection hidden="1"/>
    </xf>
    <xf numFmtId="0" fontId="26" fillId="3" borderId="11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</cellXfs>
  <cellStyles count="47">
    <cellStyle name="Accent2" xfId="12" builtinId="33"/>
    <cellStyle name="Comma" xfId="1" builtinId="3"/>
    <cellStyle name="Comma 2" xfId="6" xr:uid="{992E0777-22E7-4C5A-8ED4-CAEC129E89E8}"/>
    <cellStyle name="Comma 2 2" xfId="13" xr:uid="{00000000-0005-0000-0000-000002000000}"/>
    <cellStyle name="Comma 3" xfId="9" xr:uid="{00000000-0005-0000-0000-000035000000}"/>
    <cellStyle name="Comma 3 2" xfId="15" xr:uid="{00000000-0005-0000-0000-000004000000}"/>
    <cellStyle name="Comma 3 3" xfId="16" xr:uid="{00000000-0005-0000-0000-000005000000}"/>
    <cellStyle name="Comma 3 4" xfId="14" xr:uid="{00000000-0005-0000-0000-000003000000}"/>
    <cellStyle name="Comma 4" xfId="17" xr:uid="{00000000-0005-0000-0000-000006000000}"/>
    <cellStyle name="Comma 5" xfId="18" xr:uid="{00000000-0005-0000-0000-000007000000}"/>
    <cellStyle name="Comma 6" xfId="19" xr:uid="{00000000-0005-0000-0000-000008000000}"/>
    <cellStyle name="Currency" xfId="2" builtinId="4"/>
    <cellStyle name="Currency 2" xfId="21" xr:uid="{00000000-0005-0000-0000-00000A000000}"/>
    <cellStyle name="Currency 2 2" xfId="22" xr:uid="{00000000-0005-0000-0000-00000B000000}"/>
    <cellStyle name="Currency 3" xfId="23" xr:uid="{00000000-0005-0000-0000-00000C000000}"/>
    <cellStyle name="Currency 3 2" xfId="24" xr:uid="{00000000-0005-0000-0000-00000D000000}"/>
    <cellStyle name="Currency 4" xfId="25" xr:uid="{00000000-0005-0000-0000-00000E000000}"/>
    <cellStyle name="Currency 5" xfId="26" xr:uid="{00000000-0005-0000-0000-00000F000000}"/>
    <cellStyle name="Currency 6" xfId="27" xr:uid="{00000000-0005-0000-0000-000010000000}"/>
    <cellStyle name="Currency 7" xfId="20" xr:uid="{00000000-0005-0000-0000-00003F000000}"/>
    <cellStyle name="Hyperlink" xfId="4" builtinId="8"/>
    <cellStyle name="Hyperlink 2" xfId="10" xr:uid="{00000000-0005-0000-0000-000036000000}"/>
    <cellStyle name="Hyperlink 2 2" xfId="29" xr:uid="{00000000-0005-0000-0000-000012000000}"/>
    <cellStyle name="Hyperlink 3" xfId="28" xr:uid="{00000000-0005-0000-0000-000047000000}"/>
    <cellStyle name="Normal" xfId="0" builtinId="0"/>
    <cellStyle name="Normal 2" xfId="7" xr:uid="{79CA0CF4-166A-4246-B164-EB3E8088DFCF}"/>
    <cellStyle name="Normal 2 2" xfId="30" xr:uid="{00000000-0005-0000-0000-000015000000}"/>
    <cellStyle name="Normal 3" xfId="8" xr:uid="{00000000-0005-0000-0000-000037000000}"/>
    <cellStyle name="Normal 3 2" xfId="5" xr:uid="{0CC25AFB-87CA-4953-83FD-1FBCE3F0BCE2}"/>
    <cellStyle name="Normal 3 2 2" xfId="32" xr:uid="{00000000-0005-0000-0000-000017000000}"/>
    <cellStyle name="Normal 3 3" xfId="31" xr:uid="{00000000-0005-0000-0000-000016000000}"/>
    <cellStyle name="Normal 4" xfId="33" xr:uid="{00000000-0005-0000-0000-000018000000}"/>
    <cellStyle name="Normal 4 2" xfId="34" xr:uid="{00000000-0005-0000-0000-000019000000}"/>
    <cellStyle name="Normal 5" xfId="35" xr:uid="{00000000-0005-0000-0000-00001A000000}"/>
    <cellStyle name="Normal 5 2" xfId="36" xr:uid="{00000000-0005-0000-0000-00001B000000}"/>
    <cellStyle name="Normal 6" xfId="37" xr:uid="{00000000-0005-0000-0000-00001C000000}"/>
    <cellStyle name="Normal 6 2" xfId="38" xr:uid="{00000000-0005-0000-0000-00001D000000}"/>
    <cellStyle name="Normal 7" xfId="39" xr:uid="{00000000-0005-0000-0000-00001E000000}"/>
    <cellStyle name="Normal 8" xfId="46" xr:uid="{00000000-0005-0000-0000-000064000000}"/>
    <cellStyle name="Percent" xfId="3" builtinId="5"/>
    <cellStyle name="Percent 2" xfId="11" xr:uid="{00000000-0005-0000-0000-00003C000000}"/>
    <cellStyle name="Percent 2 2" xfId="41" xr:uid="{00000000-0005-0000-0000-00002B000000}"/>
    <cellStyle name="Percent 3" xfId="42" xr:uid="{00000000-0005-0000-0000-00002C000000}"/>
    <cellStyle name="Percent 3 2" xfId="43" xr:uid="{00000000-0005-0000-0000-00002D000000}"/>
    <cellStyle name="Percent 4" xfId="44" xr:uid="{00000000-0005-0000-0000-00002E000000}"/>
    <cellStyle name="Percent 5" xfId="45" xr:uid="{00000000-0005-0000-0000-00002F000000}"/>
    <cellStyle name="Percent 6" xfId="40" xr:uid="{00000000-0005-0000-0000-00005E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47625</xdr:rowOff>
    </xdr:from>
    <xdr:to>
      <xdr:col>1</xdr:col>
      <xdr:colOff>714375</xdr:colOff>
      <xdr:row>0</xdr:row>
      <xdr:rowOff>981075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752605C-F4E1-46A4-B2D0-DC8E9789F1EE}"/>
            </a:ext>
          </a:extLst>
        </xdr:cNvPr>
        <xdr:cNvSpPr/>
      </xdr:nvSpPr>
      <xdr:spPr>
        <a:xfrm>
          <a:off x="676275" y="47625"/>
          <a:ext cx="1628775" cy="9334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2</xdr:row>
      <xdr:rowOff>9524</xdr:rowOff>
    </xdr:from>
    <xdr:to>
      <xdr:col>7</xdr:col>
      <xdr:colOff>66676</xdr:colOff>
      <xdr:row>6</xdr:row>
      <xdr:rowOff>66675</xdr:rowOff>
    </xdr:to>
    <xdr:sp macro="" textlink="">
      <xdr:nvSpPr>
        <xdr:cNvPr id="2" name="Double Bracket 1">
          <a:extLst>
            <a:ext uri="{FF2B5EF4-FFF2-40B4-BE49-F238E27FC236}">
              <a16:creationId xmlns:a16="http://schemas.microsoft.com/office/drawing/2014/main" id="{ED37129C-D7D4-4A19-9854-69C83C8DE832}"/>
            </a:ext>
          </a:extLst>
        </xdr:cNvPr>
        <xdr:cNvSpPr/>
      </xdr:nvSpPr>
      <xdr:spPr>
        <a:xfrm>
          <a:off x="990601" y="400049"/>
          <a:ext cx="3295650" cy="857251"/>
        </a:xfrm>
        <a:prstGeom prst="bracketPair">
          <a:avLst>
            <a:gd name="adj" fmla="val 1031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19050</xdr:colOff>
      <xdr:row>1</xdr:row>
      <xdr:rowOff>180974</xdr:rowOff>
    </xdr:from>
    <xdr:to>
      <xdr:col>16</xdr:col>
      <xdr:colOff>9525</xdr:colOff>
      <xdr:row>6</xdr:row>
      <xdr:rowOff>57150</xdr:rowOff>
    </xdr:to>
    <xdr:sp macro="" textlink="">
      <xdr:nvSpPr>
        <xdr:cNvPr id="3" name="Double Bracket 2">
          <a:extLst>
            <a:ext uri="{FF2B5EF4-FFF2-40B4-BE49-F238E27FC236}">
              <a16:creationId xmlns:a16="http://schemas.microsoft.com/office/drawing/2014/main" id="{1E4B65B2-CB66-49BE-8437-E4ACB2BFE180}"/>
            </a:ext>
          </a:extLst>
        </xdr:cNvPr>
        <xdr:cNvSpPr/>
      </xdr:nvSpPr>
      <xdr:spPr>
        <a:xfrm>
          <a:off x="4876800" y="371474"/>
          <a:ext cx="3362325" cy="876301"/>
        </a:xfrm>
        <a:prstGeom prst="bracketPair">
          <a:avLst>
            <a:gd name="adj" fmla="val 1031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19</xdr:col>
      <xdr:colOff>0</xdr:colOff>
      <xdr:row>1</xdr:row>
      <xdr:rowOff>190499</xdr:rowOff>
    </xdr:from>
    <xdr:to>
      <xdr:col>23</xdr:col>
      <xdr:colOff>95250</xdr:colOff>
      <xdr:row>6</xdr:row>
      <xdr:rowOff>66675</xdr:rowOff>
    </xdr:to>
    <xdr:sp macro="" textlink="">
      <xdr:nvSpPr>
        <xdr:cNvPr id="4" name="Double Bracket 3">
          <a:extLst>
            <a:ext uri="{FF2B5EF4-FFF2-40B4-BE49-F238E27FC236}">
              <a16:creationId xmlns:a16="http://schemas.microsoft.com/office/drawing/2014/main" id="{F8D46B68-0395-40A1-A2BA-BA7E00D36B22}"/>
            </a:ext>
          </a:extLst>
        </xdr:cNvPr>
        <xdr:cNvSpPr/>
      </xdr:nvSpPr>
      <xdr:spPr>
        <a:xfrm>
          <a:off x="8753475" y="380999"/>
          <a:ext cx="3381375" cy="876301"/>
        </a:xfrm>
        <a:prstGeom prst="bracketPair">
          <a:avLst>
            <a:gd name="adj" fmla="val 1031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28576</xdr:colOff>
      <xdr:row>8</xdr:row>
      <xdr:rowOff>9524</xdr:rowOff>
    </xdr:from>
    <xdr:to>
      <xdr:col>7</xdr:col>
      <xdr:colOff>66676</xdr:colOff>
      <xdr:row>12</xdr:row>
      <xdr:rowOff>66675</xdr:rowOff>
    </xdr:to>
    <xdr:sp macro="" textlink="">
      <xdr:nvSpPr>
        <xdr:cNvPr id="5" name="Double Bracket 4">
          <a:extLst>
            <a:ext uri="{FF2B5EF4-FFF2-40B4-BE49-F238E27FC236}">
              <a16:creationId xmlns:a16="http://schemas.microsoft.com/office/drawing/2014/main" id="{805B1AFA-38C3-41AB-B98E-7FCE0DC82C68}"/>
            </a:ext>
          </a:extLst>
        </xdr:cNvPr>
        <xdr:cNvSpPr/>
      </xdr:nvSpPr>
      <xdr:spPr>
        <a:xfrm>
          <a:off x="990601" y="400049"/>
          <a:ext cx="3295650" cy="857251"/>
        </a:xfrm>
        <a:prstGeom prst="bracketPair">
          <a:avLst>
            <a:gd name="adj" fmla="val 1031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19050</xdr:colOff>
      <xdr:row>7</xdr:row>
      <xdr:rowOff>180974</xdr:rowOff>
    </xdr:from>
    <xdr:to>
      <xdr:col>16</xdr:col>
      <xdr:colOff>9525</xdr:colOff>
      <xdr:row>12</xdr:row>
      <xdr:rowOff>57150</xdr:rowOff>
    </xdr:to>
    <xdr:sp macro="" textlink="">
      <xdr:nvSpPr>
        <xdr:cNvPr id="6" name="Double Bracket 5">
          <a:extLst>
            <a:ext uri="{FF2B5EF4-FFF2-40B4-BE49-F238E27FC236}">
              <a16:creationId xmlns:a16="http://schemas.microsoft.com/office/drawing/2014/main" id="{B547BF91-C3CB-4F31-B9B0-E5C16A87449C}"/>
            </a:ext>
          </a:extLst>
        </xdr:cNvPr>
        <xdr:cNvSpPr/>
      </xdr:nvSpPr>
      <xdr:spPr>
        <a:xfrm>
          <a:off x="4876800" y="371474"/>
          <a:ext cx="3362325" cy="876301"/>
        </a:xfrm>
        <a:prstGeom prst="bracketPair">
          <a:avLst>
            <a:gd name="adj" fmla="val 1031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19</xdr:col>
      <xdr:colOff>0</xdr:colOff>
      <xdr:row>7</xdr:row>
      <xdr:rowOff>190499</xdr:rowOff>
    </xdr:from>
    <xdr:to>
      <xdr:col>23</xdr:col>
      <xdr:colOff>95250</xdr:colOff>
      <xdr:row>12</xdr:row>
      <xdr:rowOff>66675</xdr:rowOff>
    </xdr:to>
    <xdr:sp macro="" textlink="">
      <xdr:nvSpPr>
        <xdr:cNvPr id="7" name="Double Bracket 6">
          <a:extLst>
            <a:ext uri="{FF2B5EF4-FFF2-40B4-BE49-F238E27FC236}">
              <a16:creationId xmlns:a16="http://schemas.microsoft.com/office/drawing/2014/main" id="{AEF97DCB-51D6-421C-99CA-935CFEFC3BE6}"/>
            </a:ext>
          </a:extLst>
        </xdr:cNvPr>
        <xdr:cNvSpPr/>
      </xdr:nvSpPr>
      <xdr:spPr>
        <a:xfrm>
          <a:off x="8753475" y="380999"/>
          <a:ext cx="3381375" cy="876301"/>
        </a:xfrm>
        <a:prstGeom prst="bracketPair">
          <a:avLst>
            <a:gd name="adj" fmla="val 1031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e.virginia.gov/school_finance/budget/compositeindex_local_abilitypay/2018-2020/compositeindex1820.xlsx" TargetMode="External"/><Relationship Id="rId2" Type="http://schemas.openxmlformats.org/officeDocument/2006/relationships/hyperlink" Target="https://rga.lis.virginia.gov/Published/2018/RD43/PDF" TargetMode="External"/><Relationship Id="rId1" Type="http://schemas.openxmlformats.org/officeDocument/2006/relationships/hyperlink" Target="http://usda.mannlib.cornell.edu/usda/current/AgriLandVa/AgriLandVa-08-02-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yesvirginia.org/Content/pdf/guides/Guide%20to%20Local%20Taxes%202016-201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esvirginia.org/Content/pdf/guides/Guide%20to%20Local%20Taxes%202016-2017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oe.virginia.gov/school_finance/budget/compositeindex_local_abilitypay/2018-2020/compositeindex1820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4BED-BECB-4A9B-A028-A415CA3F7BCF}">
  <sheetPr codeName="Sheet1">
    <pageSetUpPr autoPageBreaks="0"/>
  </sheetPr>
  <dimension ref="B1:J44"/>
  <sheetViews>
    <sheetView tabSelected="1" zoomScale="70" zoomScaleNormal="70" workbookViewId="0">
      <selection activeCell="F36" sqref="F36"/>
    </sheetView>
  </sheetViews>
  <sheetFormatPr defaultColWidth="9.109375" defaultRowHeight="14.4" x14ac:dyDescent="0.3"/>
  <cols>
    <col min="1" max="1" width="3.33203125" style="53" customWidth="1"/>
    <col min="2" max="2" width="26.44140625" style="53" bestFit="1" customWidth="1"/>
    <col min="3" max="3" width="21.6640625" style="60" bestFit="1" customWidth="1"/>
    <col min="4" max="4" width="6" style="53" customWidth="1"/>
    <col min="5" max="5" width="42.5546875" style="53" bestFit="1" customWidth="1"/>
    <col min="6" max="6" width="18" style="57" bestFit="1" customWidth="1"/>
    <col min="7" max="7" width="4" style="53" customWidth="1"/>
    <col min="8" max="8" width="42.5546875" style="53" bestFit="1" customWidth="1"/>
    <col min="9" max="9" width="18.33203125" style="53" bestFit="1" customWidth="1"/>
    <col min="10" max="10" width="4.109375" style="53" customWidth="1"/>
    <col min="11" max="11" width="12.33203125" style="53" customWidth="1"/>
    <col min="12" max="16384" width="9.109375" style="53"/>
  </cols>
  <sheetData>
    <row r="1" spans="2:10" ht="11.25" customHeight="1" thickBot="1" x14ac:dyDescent="0.35"/>
    <row r="2" spans="2:10" ht="21.6" thickBot="1" x14ac:dyDescent="0.45">
      <c r="B2" s="149" t="s">
        <v>304</v>
      </c>
      <c r="C2" s="150"/>
      <c r="E2" s="149" t="s">
        <v>356</v>
      </c>
      <c r="F2" s="153"/>
      <c r="G2" s="153"/>
      <c r="H2" s="153"/>
      <c r="I2" s="150"/>
    </row>
    <row r="3" spans="2:10" ht="11.25" customHeight="1" thickBot="1" x14ac:dyDescent="0.35">
      <c r="C3" s="53"/>
      <c r="F3" s="53"/>
    </row>
    <row r="4" spans="2:10" ht="16.2" thickBot="1" x14ac:dyDescent="0.35">
      <c r="B4" s="151" t="s">
        <v>357</v>
      </c>
      <c r="C4" s="152"/>
      <c r="E4" s="147" t="s">
        <v>371</v>
      </c>
      <c r="F4" s="148"/>
      <c r="H4" s="147" t="str">
        <f>"Lifetime Fiscal Impacts ("&amp;C11&amp;" Years)"</f>
        <v>Lifetime Fiscal Impacts (35 Years)</v>
      </c>
      <c r="I4" s="148"/>
    </row>
    <row r="5" spans="2:10" ht="15.6" x14ac:dyDescent="0.3">
      <c r="B5" s="54" t="s">
        <v>302</v>
      </c>
      <c r="C5" s="76" t="s">
        <v>355</v>
      </c>
      <c r="E5" s="147" t="s">
        <v>379</v>
      </c>
      <c r="F5" s="148"/>
      <c r="H5" s="147" t="s">
        <v>379</v>
      </c>
      <c r="I5" s="148"/>
    </row>
    <row r="6" spans="2:10" x14ac:dyDescent="0.3">
      <c r="B6" s="55" t="s">
        <v>303</v>
      </c>
      <c r="C6" s="77" t="s">
        <v>6</v>
      </c>
      <c r="E6" s="55" t="s">
        <v>358</v>
      </c>
      <c r="F6" s="70">
        <f>C7*C8*C9*Forecasts!G2*(1-C10)/100</f>
        <v>104399.99999999996</v>
      </c>
      <c r="H6" s="55" t="s">
        <v>358</v>
      </c>
      <c r="I6" s="70">
        <f>SUMPRODUCT(Forecasts!H2:H36,Forecasts!K2:K36)*Forecasts!$B$5/100</f>
        <v>1838344.7999999998</v>
      </c>
    </row>
    <row r="7" spans="2:10" x14ac:dyDescent="0.3">
      <c r="B7" s="55" t="s">
        <v>274</v>
      </c>
      <c r="C7" s="78">
        <v>100000000</v>
      </c>
      <c r="E7" s="129" t="s">
        <v>359</v>
      </c>
      <c r="F7" s="69">
        <f>C21*C20*C8*C9/100</f>
        <v>32886</v>
      </c>
      <c r="H7" s="129" t="s">
        <v>359</v>
      </c>
      <c r="I7" s="69">
        <f>SUMPRODUCT(Forecasts!I2:I36,Forecasts!K2:K36)*Forecasts!$B$5/100</f>
        <v>1151010</v>
      </c>
    </row>
    <row r="8" spans="2:10" ht="16.8" thickBot="1" x14ac:dyDescent="0.35">
      <c r="B8" s="55" t="s">
        <v>388</v>
      </c>
      <c r="C8" s="130">
        <f>VLOOKUP(C6,'Tax Data'!$A$4:$E$136,2,FALSE)</f>
        <v>1</v>
      </c>
      <c r="E8" s="71" t="s">
        <v>365</v>
      </c>
      <c r="F8" s="67">
        <f>SUM(F6:F7)</f>
        <v>137285.99999999994</v>
      </c>
      <c r="H8" s="71" t="s">
        <v>365</v>
      </c>
      <c r="I8" s="67">
        <f>SUM(I6:I7)</f>
        <v>2989354.8</v>
      </c>
      <c r="J8" s="139"/>
    </row>
    <row r="9" spans="2:10" ht="16.8" thickBot="1" x14ac:dyDescent="0.35">
      <c r="B9" s="55" t="s">
        <v>387</v>
      </c>
      <c r="C9" s="56">
        <f>VLOOKUP(C6,'Tax Data'!$A$4:$E$136,3,FALSE)</f>
        <v>0.57999999999999996</v>
      </c>
      <c r="F9" s="53"/>
      <c r="G9" s="139"/>
      <c r="J9" s="139"/>
    </row>
    <row r="10" spans="2:10" ht="15.6" x14ac:dyDescent="0.3">
      <c r="B10" s="55" t="s">
        <v>137</v>
      </c>
      <c r="C10" s="79">
        <v>0.8</v>
      </c>
      <c r="E10" s="147" t="s">
        <v>338</v>
      </c>
      <c r="F10" s="148"/>
      <c r="G10" s="140"/>
      <c r="H10" s="147" t="s">
        <v>338</v>
      </c>
      <c r="I10" s="148"/>
      <c r="J10" s="141"/>
    </row>
    <row r="11" spans="2:10" x14ac:dyDescent="0.3">
      <c r="B11" s="55" t="s">
        <v>308</v>
      </c>
      <c r="C11" s="80">
        <v>35</v>
      </c>
      <c r="E11" s="55" t="s">
        <v>276</v>
      </c>
      <c r="F11" s="142">
        <f>C40</f>
        <v>0.34970000000000001</v>
      </c>
      <c r="G11" s="139"/>
      <c r="H11" s="55" t="s">
        <v>276</v>
      </c>
      <c r="I11" s="142">
        <f>AVERAGE(Forecasts!T2:T36)</f>
        <v>0.34970000000000018</v>
      </c>
      <c r="J11" s="141"/>
    </row>
    <row r="12" spans="2:10" ht="18.600000000000001" thickBot="1" x14ac:dyDescent="0.4">
      <c r="B12" s="59" t="s">
        <v>312</v>
      </c>
      <c r="C12" s="81">
        <v>3.066E-2</v>
      </c>
      <c r="D12" s="61"/>
      <c r="E12" s="55" t="s">
        <v>382</v>
      </c>
      <c r="F12" s="70">
        <f>VLOOKUP(C6,'CI Data'!$A$4:$K$138,11,FALSE)</f>
        <v>12579114</v>
      </c>
      <c r="G12" s="139"/>
      <c r="H12" s="55" t="s">
        <v>372</v>
      </c>
      <c r="I12" s="70">
        <f>SUM(Forecasts!X2:X36)</f>
        <v>440268990</v>
      </c>
    </row>
    <row r="13" spans="2:10" ht="18.600000000000001" thickBot="1" x14ac:dyDescent="0.4">
      <c r="D13" s="63"/>
      <c r="E13" s="55" t="s">
        <v>374</v>
      </c>
      <c r="F13" s="142">
        <f>C44</f>
        <v>0.3508</v>
      </c>
      <c r="G13" s="62"/>
      <c r="H13" s="55" t="s">
        <v>374</v>
      </c>
      <c r="I13" s="142">
        <f>AVERAGE(Forecasts!U4:U36)</f>
        <v>0.35031515151515136</v>
      </c>
    </row>
    <row r="14" spans="2:10" ht="16.2" thickBot="1" x14ac:dyDescent="0.35">
      <c r="B14" s="147" t="s">
        <v>366</v>
      </c>
      <c r="C14" s="148"/>
      <c r="D14" s="63"/>
      <c r="E14" s="59" t="s">
        <v>373</v>
      </c>
      <c r="F14" s="144">
        <f>Forecasts!Y2</f>
        <v>12618682.2739491</v>
      </c>
      <c r="G14" s="58"/>
      <c r="H14" s="59" t="s">
        <v>373</v>
      </c>
      <c r="I14" s="144">
        <f>SUM(Forecasts!Y2:Y36)</f>
        <v>441078341.05804968</v>
      </c>
    </row>
    <row r="15" spans="2:10" ht="16.8" thickBot="1" x14ac:dyDescent="0.35">
      <c r="B15" s="131" t="s">
        <v>367</v>
      </c>
      <c r="C15" s="132">
        <v>4330</v>
      </c>
      <c r="D15" s="63"/>
      <c r="F15" s="53"/>
      <c r="G15" s="58"/>
    </row>
    <row r="16" spans="2:10" ht="15.6" x14ac:dyDescent="0.3">
      <c r="B16" s="55" t="s">
        <v>364</v>
      </c>
      <c r="C16" s="133">
        <v>7.0000000000000007E-2</v>
      </c>
      <c r="D16" s="63"/>
      <c r="E16" s="147" t="s">
        <v>380</v>
      </c>
      <c r="F16" s="148"/>
      <c r="G16" s="58"/>
      <c r="H16" s="147" t="s">
        <v>380</v>
      </c>
      <c r="I16" s="148"/>
    </row>
    <row r="17" spans="2:9" x14ac:dyDescent="0.3">
      <c r="B17" s="55" t="s">
        <v>360</v>
      </c>
      <c r="C17" s="134">
        <v>1000</v>
      </c>
      <c r="D17" s="63"/>
      <c r="E17" s="55" t="s">
        <v>378</v>
      </c>
      <c r="F17" s="70">
        <f>F8</f>
        <v>137285.99999999994</v>
      </c>
      <c r="G17" s="58"/>
      <c r="H17" s="55" t="s">
        <v>378</v>
      </c>
      <c r="I17" s="70">
        <f>I8</f>
        <v>2989354.8</v>
      </c>
    </row>
    <row r="18" spans="2:9" x14ac:dyDescent="0.3">
      <c r="B18" s="55" t="s">
        <v>369</v>
      </c>
      <c r="C18" s="135" t="s">
        <v>281</v>
      </c>
      <c r="D18" s="63"/>
      <c r="E18" s="129" t="s">
        <v>285</v>
      </c>
      <c r="F18" s="69">
        <f>F14-F12</f>
        <v>39568.273949099705</v>
      </c>
      <c r="G18" s="58"/>
      <c r="H18" s="129" t="s">
        <v>285</v>
      </c>
      <c r="I18" s="69">
        <f>I14-I12</f>
        <v>809351.0580496788</v>
      </c>
    </row>
    <row r="19" spans="2:9" ht="15" thickBot="1" x14ac:dyDescent="0.35">
      <c r="B19" s="131" t="s">
        <v>361</v>
      </c>
      <c r="C19" s="136">
        <v>10000</v>
      </c>
      <c r="D19" s="63"/>
      <c r="E19" s="71" t="s">
        <v>389</v>
      </c>
      <c r="F19" s="67">
        <f>F17-F18</f>
        <v>97717.726050900237</v>
      </c>
      <c r="G19" s="58"/>
      <c r="H19" s="71" t="s">
        <v>389</v>
      </c>
      <c r="I19" s="67">
        <f>I17-I18</f>
        <v>2180003.741950321</v>
      </c>
    </row>
    <row r="20" spans="2:9" x14ac:dyDescent="0.3">
      <c r="B20" s="55" t="s">
        <v>362</v>
      </c>
      <c r="C20" s="137">
        <v>1000</v>
      </c>
      <c r="D20" s="63"/>
      <c r="F20" s="53"/>
    </row>
    <row r="21" spans="2:9" ht="15" thickBot="1" x14ac:dyDescent="0.35">
      <c r="B21" s="59" t="s">
        <v>363</v>
      </c>
      <c r="C21" s="138">
        <f>MAX(IF(C18="Yes",MIN(C17/C16,C19),C17/C16)-C15,0)</f>
        <v>5670</v>
      </c>
      <c r="D21" s="63"/>
      <c r="F21" s="53"/>
    </row>
    <row r="22" spans="2:9" ht="15" thickBot="1" x14ac:dyDescent="0.35">
      <c r="C22" s="128"/>
      <c r="D22" s="63"/>
      <c r="F22" s="53"/>
      <c r="G22" s="58"/>
      <c r="I22" s="63"/>
    </row>
    <row r="23" spans="2:9" ht="17.399999999999999" x14ac:dyDescent="0.3">
      <c r="B23" s="147" t="s">
        <v>383</v>
      </c>
      <c r="C23" s="148"/>
      <c r="D23" s="63"/>
      <c r="F23" s="53"/>
      <c r="G23" s="58"/>
    </row>
    <row r="24" spans="2:9" x14ac:dyDescent="0.3">
      <c r="B24" s="55" t="s">
        <v>0</v>
      </c>
      <c r="C24" s="64">
        <f>VLOOKUP($C$6,'CI Data'!$A$4:$H$132,2,FALSE)</f>
        <v>4012143667.4039736</v>
      </c>
      <c r="E24" s="145" t="s">
        <v>353</v>
      </c>
      <c r="F24" s="53"/>
      <c r="G24" s="58"/>
    </row>
    <row r="25" spans="2:9" x14ac:dyDescent="0.3">
      <c r="B25" s="55" t="s">
        <v>307</v>
      </c>
      <c r="C25" s="64">
        <f>C24+Forecasts!J2</f>
        <v>4035813667.4039736</v>
      </c>
      <c r="D25" s="53">
        <v>1</v>
      </c>
      <c r="E25" s="146" t="s">
        <v>381</v>
      </c>
      <c r="F25" s="58"/>
    </row>
    <row r="26" spans="2:9" x14ac:dyDescent="0.3">
      <c r="B26" s="55" t="s">
        <v>1</v>
      </c>
      <c r="C26" s="64">
        <f>VLOOKUP($C$6,'CI Data'!$A$4:$H$132,3,FALSE)</f>
        <v>645493528</v>
      </c>
      <c r="D26" s="53">
        <v>2</v>
      </c>
      <c r="E26" s="146" t="s">
        <v>385</v>
      </c>
      <c r="F26" s="58"/>
    </row>
    <row r="27" spans="2:9" x14ac:dyDescent="0.3">
      <c r="B27" s="55" t="s">
        <v>2</v>
      </c>
      <c r="C27" s="64">
        <f>VLOOKUP($C$6,'CI Data'!$A$4:$H$132,6,FALSE)</f>
        <v>502574536.38</v>
      </c>
      <c r="D27" s="53">
        <v>3</v>
      </c>
      <c r="E27" s="146" t="s">
        <v>386</v>
      </c>
      <c r="F27" s="58"/>
    </row>
    <row r="28" spans="2:9" x14ac:dyDescent="0.3">
      <c r="B28" s="55" t="s">
        <v>3</v>
      </c>
      <c r="C28" s="66">
        <f>VLOOKUP($C$6,'CI Data'!$A$4:$H$132,7,FALSE)</f>
        <v>5102.46</v>
      </c>
      <c r="D28" s="53">
        <v>4</v>
      </c>
      <c r="E28" s="122" t="s">
        <v>368</v>
      </c>
      <c r="F28" s="53"/>
    </row>
    <row r="29" spans="2:9" ht="15" thickBot="1" x14ac:dyDescent="0.35">
      <c r="B29" s="55" t="s">
        <v>4</v>
      </c>
      <c r="C29" s="68">
        <f>VLOOKUP($C$6,'CI Data'!$A$4:$H$132,8,FALSE)</f>
        <v>33516</v>
      </c>
      <c r="D29" s="63"/>
      <c r="F29" s="53"/>
    </row>
    <row r="30" spans="2:9" ht="17.399999999999999" x14ac:dyDescent="0.3">
      <c r="B30" s="147" t="s">
        <v>384</v>
      </c>
      <c r="C30" s="148"/>
      <c r="D30" s="63"/>
      <c r="F30" s="53"/>
    </row>
    <row r="31" spans="2:9" x14ac:dyDescent="0.3">
      <c r="B31" s="55" t="s">
        <v>0</v>
      </c>
      <c r="C31" s="64">
        <f>'CI Data'!B3</f>
        <v>1170092111098.9373</v>
      </c>
      <c r="D31" s="74"/>
      <c r="F31" s="53"/>
    </row>
    <row r="32" spans="2:9" x14ac:dyDescent="0.3">
      <c r="B32" s="55" t="s">
        <v>307</v>
      </c>
      <c r="C32" s="64">
        <f>C31+Forecasts!J2</f>
        <v>1170115781098.9373</v>
      </c>
      <c r="D32" s="74"/>
      <c r="F32" s="53"/>
      <c r="G32" s="75"/>
    </row>
    <row r="33" spans="2:7" x14ac:dyDescent="0.3">
      <c r="B33" s="55" t="s">
        <v>1</v>
      </c>
      <c r="C33" s="64">
        <f>'CI Data'!C3</f>
        <v>271432497952.66599</v>
      </c>
      <c r="F33" s="53"/>
      <c r="G33" s="75"/>
    </row>
    <row r="34" spans="2:7" x14ac:dyDescent="0.3">
      <c r="B34" s="55" t="s">
        <v>2</v>
      </c>
      <c r="C34" s="64">
        <f>'CI Data'!F3</f>
        <v>100207273998.17998</v>
      </c>
      <c r="F34" s="53"/>
    </row>
    <row r="35" spans="2:7" x14ac:dyDescent="0.3">
      <c r="B35" s="55" t="s">
        <v>3</v>
      </c>
      <c r="C35" s="68">
        <f>'CI Data'!G3</f>
        <v>1239781.2999999996</v>
      </c>
      <c r="F35" s="53"/>
    </row>
    <row r="36" spans="2:7" ht="15" thickBot="1" x14ac:dyDescent="0.35">
      <c r="B36" s="55" t="s">
        <v>4</v>
      </c>
      <c r="C36" s="68">
        <f>'CI Data'!H3</f>
        <v>8382993</v>
      </c>
      <c r="F36" s="53"/>
    </row>
    <row r="37" spans="2:7" ht="15.6" x14ac:dyDescent="0.3">
      <c r="B37" s="147" t="s">
        <v>276</v>
      </c>
      <c r="C37" s="148"/>
      <c r="F37" s="53"/>
    </row>
    <row r="38" spans="2:7" x14ac:dyDescent="0.3">
      <c r="B38" s="55" t="s">
        <v>267</v>
      </c>
      <c r="C38" s="72">
        <f>0.5*(C24/C28)/(C31/C35)+0.4*((C26/C28)/(C33/C35))+0.1*((C27/C28)/(C34/C35))</f>
        <v>0.76956487461486101</v>
      </c>
    </row>
    <row r="39" spans="2:7" x14ac:dyDescent="0.3">
      <c r="B39" s="55" t="s">
        <v>268</v>
      </c>
      <c r="C39" s="72">
        <f>0.5*(C24/C29)/(C31/C36)+0.4*((C26/C29)/(C33/C36))+0.1*((C27/C29)/(C34/C36))</f>
        <v>0.79218512990615009</v>
      </c>
    </row>
    <row r="40" spans="2:7" ht="15" thickBot="1" x14ac:dyDescent="0.35">
      <c r="B40" s="59" t="s">
        <v>269</v>
      </c>
      <c r="C40" s="73">
        <f>ROUND((2/3*C38+1/3*C39)*(1-0.55),4)</f>
        <v>0.34970000000000001</v>
      </c>
    </row>
    <row r="41" spans="2:7" ht="15.6" x14ac:dyDescent="0.3">
      <c r="B41" s="147" t="s">
        <v>309</v>
      </c>
      <c r="C41" s="148"/>
    </row>
    <row r="42" spans="2:7" x14ac:dyDescent="0.3">
      <c r="B42" s="55" t="s">
        <v>267</v>
      </c>
      <c r="C42" s="72">
        <f>0.5*(C25/C28)/(C32/C35)+0.4*((C26/C28)/(C33/C35))+0.1*((C27/C28)/(C34/C35))</f>
        <v>0.7720140121906367</v>
      </c>
    </row>
    <row r="43" spans="2:7" x14ac:dyDescent="0.3">
      <c r="B43" s="55" t="s">
        <v>268</v>
      </c>
      <c r="C43" s="72">
        <f>0.5*(C25/C29)/(C32/C36)+0.4*((C26/C29)/(C33/C36))+0.1*((C27/C29)/(C34/C36))</f>
        <v>0.7947062563668591</v>
      </c>
    </row>
    <row r="44" spans="2:7" ht="15" thickBot="1" x14ac:dyDescent="0.35">
      <c r="B44" s="59" t="s">
        <v>269</v>
      </c>
      <c r="C44" s="73">
        <f>TRUNC((2/3*C42+1/3*C43)*(1-0.55),4)</f>
        <v>0.3508</v>
      </c>
    </row>
  </sheetData>
  <mergeCells count="16">
    <mergeCell ref="H5:I5"/>
    <mergeCell ref="H10:I10"/>
    <mergeCell ref="H16:I16"/>
    <mergeCell ref="E2:I2"/>
    <mergeCell ref="E4:F4"/>
    <mergeCell ref="H4:I4"/>
    <mergeCell ref="B37:C37"/>
    <mergeCell ref="B2:C2"/>
    <mergeCell ref="B41:C41"/>
    <mergeCell ref="E16:F16"/>
    <mergeCell ref="B23:C23"/>
    <mergeCell ref="B4:C4"/>
    <mergeCell ref="E5:F5"/>
    <mergeCell ref="B30:C30"/>
    <mergeCell ref="B14:C14"/>
    <mergeCell ref="E10:F10"/>
  </mergeCells>
  <dataValidations disablePrompts="1" count="1">
    <dataValidation type="list" allowBlank="1" showInputMessage="1" showErrorMessage="1" sqref="C18" xr:uid="{0D3EF435-6C7C-4498-AD3F-1A5AA7BB308F}">
      <formula1>"Yes,No"</formula1>
    </dataValidation>
  </dataValidations>
  <hyperlinks>
    <hyperlink ref="E28" r:id="rId1" xr:uid="{4230732C-EBCE-433A-8942-C1DE0280D0EE}"/>
    <hyperlink ref="E25" r:id="rId2" xr:uid="{525A5B5E-9C61-4381-9E3F-660D44D3095C}"/>
    <hyperlink ref="E26" r:id="rId3" xr:uid="{074FAC6A-86A9-413B-9F66-F49709D593F5}"/>
    <hyperlink ref="E27" r:id="rId4" xr:uid="{03CE0859-C039-4C06-B6E7-2FE9EB4343F7}"/>
  </hyperlinks>
  <pageMargins left="0.7" right="0.7" top="0.75" bottom="0.75" header="0.3" footer="0.3"/>
  <pageSetup orientation="landscape" r:id="rId5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B3F4C69-4393-432A-871A-265ABB37A011}">
          <x14:formula1>
            <xm:f>'CI Data'!$A$4:$A$132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E6F9-7229-4F0C-B242-D69663ED7C36}">
  <sheetPr codeName="Sheet3"/>
  <dimension ref="A1:AI4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3" sqref="A13:A14"/>
    </sheetView>
  </sheetViews>
  <sheetFormatPr defaultColWidth="9.109375" defaultRowHeight="14.4" x14ac:dyDescent="0.3"/>
  <cols>
    <col min="1" max="1" width="27.6640625" style="53" bestFit="1" customWidth="1"/>
    <col min="2" max="2" width="23.33203125" style="95" customWidth="1"/>
    <col min="3" max="3" width="3.33203125" style="53" customWidth="1"/>
    <col min="4" max="4" width="9.109375" style="74"/>
    <col min="5" max="5" width="11.109375" style="74" bestFit="1" customWidth="1"/>
    <col min="6" max="6" width="19.33203125" style="74" bestFit="1" customWidth="1"/>
    <col min="7" max="7" width="12.44140625" style="74" customWidth="1"/>
    <col min="8" max="8" width="12.5546875" style="74" bestFit="1" customWidth="1"/>
    <col min="9" max="10" width="12.5546875" style="74" customWidth="1"/>
    <col min="11" max="11" width="12.33203125" style="74" bestFit="1" customWidth="1"/>
    <col min="12" max="12" width="15.109375" style="74" customWidth="1"/>
    <col min="13" max="13" width="4.44140625" style="74" customWidth="1"/>
    <col min="14" max="16" width="13.88671875" style="74" bestFit="1" customWidth="1"/>
    <col min="17" max="17" width="13.5546875" style="74" bestFit="1" customWidth="1"/>
    <col min="18" max="18" width="11.6640625" style="74" bestFit="1" customWidth="1"/>
    <col min="19" max="19" width="10.6640625" style="74" bestFit="1" customWidth="1"/>
    <col min="20" max="21" width="10.5546875" style="74" bestFit="1" customWidth="1"/>
    <col min="22" max="22" width="14.5546875" style="74" bestFit="1" customWidth="1"/>
    <col min="23" max="23" width="11.88671875" style="74" bestFit="1" customWidth="1"/>
    <col min="24" max="24" width="14.33203125" style="74" bestFit="1" customWidth="1"/>
    <col min="25" max="25" width="14.5546875" style="74" bestFit="1" customWidth="1"/>
    <col min="26" max="26" width="12.44140625" style="74" customWidth="1"/>
    <col min="27" max="27" width="11.88671875" style="74" bestFit="1" customWidth="1"/>
    <col min="28" max="28" width="12.6640625" style="74" bestFit="1" customWidth="1"/>
    <col min="29" max="29" width="9.109375" style="53"/>
    <col min="30" max="30" width="13.44140625" style="53" bestFit="1" customWidth="1"/>
    <col min="31" max="31" width="17.5546875" style="53" bestFit="1" customWidth="1"/>
    <col min="32" max="32" width="21.6640625" style="53" bestFit="1" customWidth="1"/>
    <col min="33" max="33" width="18.6640625" style="53" bestFit="1" customWidth="1"/>
    <col min="34" max="34" width="10.5546875" style="53" bestFit="1" customWidth="1"/>
    <col min="35" max="35" width="11.109375" style="53" bestFit="1" customWidth="1"/>
    <col min="36" max="16384" width="9.109375" style="53"/>
  </cols>
  <sheetData>
    <row r="1" spans="1:35" ht="83.25" customHeight="1" thickBot="1" x14ac:dyDescent="0.35">
      <c r="D1" s="96" t="s">
        <v>136</v>
      </c>
      <c r="E1" s="97" t="s">
        <v>346</v>
      </c>
      <c r="F1" s="97" t="s">
        <v>347</v>
      </c>
      <c r="G1" s="97" t="s">
        <v>300</v>
      </c>
      <c r="H1" s="97" t="s">
        <v>344</v>
      </c>
      <c r="I1" s="97" t="s">
        <v>348</v>
      </c>
      <c r="J1" s="97" t="s">
        <v>349</v>
      </c>
      <c r="K1" s="97" t="s">
        <v>345</v>
      </c>
      <c r="L1" s="97" t="s">
        <v>297</v>
      </c>
      <c r="M1" s="97"/>
      <c r="N1" s="97" t="s">
        <v>275</v>
      </c>
      <c r="O1" s="97" t="s">
        <v>298</v>
      </c>
      <c r="P1" s="97" t="s">
        <v>270</v>
      </c>
      <c r="Q1" s="97" t="s">
        <v>271</v>
      </c>
      <c r="R1" s="97" t="s">
        <v>272</v>
      </c>
      <c r="S1" s="97" t="s">
        <v>273</v>
      </c>
      <c r="T1" s="97" t="s">
        <v>276</v>
      </c>
      <c r="U1" s="97" t="s">
        <v>277</v>
      </c>
      <c r="V1" s="97" t="s">
        <v>283</v>
      </c>
      <c r="W1" s="97" t="s">
        <v>376</v>
      </c>
      <c r="X1" s="97" t="s">
        <v>282</v>
      </c>
      <c r="Y1" s="97" t="s">
        <v>375</v>
      </c>
      <c r="Z1" s="97" t="s">
        <v>285</v>
      </c>
      <c r="AA1" s="97" t="s">
        <v>284</v>
      </c>
      <c r="AB1" s="98" t="s">
        <v>286</v>
      </c>
      <c r="AE1" s="96" t="s">
        <v>0</v>
      </c>
      <c r="AF1" s="97" t="s">
        <v>1</v>
      </c>
      <c r="AG1" s="97" t="s">
        <v>2</v>
      </c>
      <c r="AH1" s="97" t="s">
        <v>3</v>
      </c>
      <c r="AI1" s="98" t="s">
        <v>4</v>
      </c>
    </row>
    <row r="2" spans="1:35" x14ac:dyDescent="0.3">
      <c r="A2" s="154" t="s">
        <v>304</v>
      </c>
      <c r="B2" s="155"/>
      <c r="D2" s="74">
        <v>1</v>
      </c>
      <c r="E2" s="99">
        <f t="shared" ref="E2:E36" si="0">$B$4*(1-$B$7)</f>
        <v>19999999.999999996</v>
      </c>
      <c r="F2" s="99">
        <f>E2*$B$5</f>
        <v>19999999.999999996</v>
      </c>
      <c r="G2" s="100">
        <v>0.9</v>
      </c>
      <c r="H2" s="75">
        <f>G2*F2</f>
        <v>17999999.999999996</v>
      </c>
      <c r="I2" s="75">
        <f>Dashboard!C21*Dashboard!C20</f>
        <v>5670000</v>
      </c>
      <c r="J2" s="75">
        <f>I2*$B$5+H2</f>
        <v>23669999.999999996</v>
      </c>
      <c r="K2" s="101">
        <f>$B$6</f>
        <v>0.57999999999999996</v>
      </c>
      <c r="L2" s="75">
        <f>(J2)*K2/100</f>
        <v>137285.99999999997</v>
      </c>
      <c r="N2" s="99">
        <f>Dashboard!$C$24</f>
        <v>4012143667.4039736</v>
      </c>
      <c r="O2" s="99">
        <f>N2+H2+I2</f>
        <v>4035813667.4039736</v>
      </c>
      <c r="P2" s="99">
        <f>Dashboard!$C$26</f>
        <v>645493528</v>
      </c>
      <c r="Q2" s="99">
        <f>Dashboard!$C$27</f>
        <v>502574536.38</v>
      </c>
      <c r="R2" s="102">
        <f>Dashboard!$C$28</f>
        <v>5102.46</v>
      </c>
      <c r="S2" s="58">
        <f>Dashboard!$C$29</f>
        <v>33516</v>
      </c>
      <c r="T2" s="103">
        <f>ROUND((1-0.55)*(0.666666*(0.5*(N2/R2)/(Dashboard!$C$31/AH2)+0.4*((P2/R2)/(Dashboard!$C$33/AH2))+0.1*((Q2/R2)/(Dashboard!$C$34/AH2)))+0.3333333*(0.5*(N2/S2)/(Dashboard!$C$31/AI2)+0.4*((P2/S2)/(Dashboard!$C$33/AI2))+0.1*((Q2/S2)/(Dashboard!$C$34/AI2)))),4)</f>
        <v>0.34970000000000001</v>
      </c>
      <c r="U2" s="103">
        <f>TRUNC((1-0.55)*(0.666666*(0.5*(O2/R2)/(AE2/AH2)+0.4*((P2/R2)/(AF2/AH2))+0.1*((Q2/R2)/(AG2/AH2)))+0.3333333*(0.5*(O2/S2)/(AE2/AI2)+0.4*((P2/S2)/(AF2/AI2))+0.1*((Q2/S2)/(AG2/AI2)))),4)</f>
        <v>0.3508</v>
      </c>
      <c r="V2" s="104">
        <f>X2/T2</f>
        <v>35971158.135544755</v>
      </c>
      <c r="W2" s="143">
        <f>V2-X2</f>
        <v>23392044.135544755</v>
      </c>
      <c r="X2" s="104">
        <f>Dashboard!$F$12*(1+$B$25)^(D2-1)</f>
        <v>12579114</v>
      </c>
      <c r="Y2" s="104">
        <f>V2*Dashboard!$F$13</f>
        <v>12618682.2739491</v>
      </c>
      <c r="Z2" s="99">
        <f>Y2-X2</f>
        <v>39568.273949099705</v>
      </c>
      <c r="AA2" s="99">
        <f>L2</f>
        <v>137285.99999999997</v>
      </c>
      <c r="AB2" s="99">
        <f>AA2-Z2</f>
        <v>97717.726050900266</v>
      </c>
      <c r="AD2" s="105"/>
      <c r="AE2" s="106">
        <f>Dashboard!$C$31*(1+$B$13)^(1-D2)+H2</f>
        <v>1170110111098.9373</v>
      </c>
      <c r="AF2" s="107">
        <f>'CI Data'!C3</f>
        <v>271432497952.66599</v>
      </c>
      <c r="AG2" s="107">
        <f>'CI Data'!F3</f>
        <v>100207273998.17998</v>
      </c>
      <c r="AH2" s="108">
        <f>'CI Data'!G3</f>
        <v>1239781.2999999996</v>
      </c>
      <c r="AI2" s="109">
        <f>'CI Data'!H3</f>
        <v>8382993</v>
      </c>
    </row>
    <row r="3" spans="1:35" x14ac:dyDescent="0.3">
      <c r="A3" s="55" t="s">
        <v>266</v>
      </c>
      <c r="B3" s="110" t="str">
        <f>Dashboard!C6</f>
        <v>ACCOMACK</v>
      </c>
      <c r="D3" s="74">
        <v>2</v>
      </c>
      <c r="E3" s="99">
        <f t="shared" si="0"/>
        <v>19999999.999999996</v>
      </c>
      <c r="F3" s="99">
        <f t="shared" ref="F3:F36" si="1">E3*$B$5</f>
        <v>19999999.999999996</v>
      </c>
      <c r="G3" s="100">
        <v>0.9</v>
      </c>
      <c r="H3" s="75">
        <f t="shared" ref="H3:H36" si="2">G3*F3</f>
        <v>17999999.999999996</v>
      </c>
      <c r="I3" s="75">
        <f>I2*(1+$B$24)</f>
        <v>5670000</v>
      </c>
      <c r="J3" s="75">
        <f t="shared" ref="J3:J36" si="3">I3*$B$5+H3</f>
        <v>23669999.999999996</v>
      </c>
      <c r="K3" s="101">
        <f t="shared" ref="K3:K36" si="4">$B$6</f>
        <v>0.57999999999999996</v>
      </c>
      <c r="L3" s="75">
        <f t="shared" ref="L3:L36" si="5">(J3)*K3/100</f>
        <v>137285.99999999997</v>
      </c>
      <c r="N3" s="99">
        <f>N2*(1+$B$19)</f>
        <v>4012143667.4039736</v>
      </c>
      <c r="O3" s="99">
        <f t="shared" ref="O3:O36" si="6">N3+H3+I3</f>
        <v>4035813667.4039736</v>
      </c>
      <c r="P3" s="99">
        <f>P2*(1+$B$20)</f>
        <v>645493528</v>
      </c>
      <c r="Q3" s="99">
        <f>Q2*(1+$B$21)</f>
        <v>502574536.38</v>
      </c>
      <c r="R3" s="102">
        <f>R2*(1+$B$22)</f>
        <v>5102.46</v>
      </c>
      <c r="S3" s="58">
        <f>S2*(1+$B$23)</f>
        <v>33516</v>
      </c>
      <c r="T3" s="103">
        <f>ROUND((1-0.55)*(0.666666*(0.5*(N3/R3)/(Dashboard!$C$31/AH3)+0.4*((P3/R3)/(Dashboard!$C$33/AH3))+0.1*((Q3/R3)/(Dashboard!$C$34/AH3)))+0.3333333*(0.5*(N3/S3)/(Dashboard!$C$31/AI3)+0.4*((P3/S3)/(Dashboard!$C$33/AI3))+0.1*((Q3/S3)/(Dashboard!$C$34/AI3)))),4)</f>
        <v>0.34970000000000001</v>
      </c>
      <c r="U3" s="103">
        <f t="shared" ref="U3:U36" si="7">TRUNC((1-0.55)*(0.666666*(0.5*(O3/R3)/(AE3/AH3)+0.4*((P3/R3)/(AF3/AH3))+0.1*((Q3/R3)/(AG3/AH3)))+0.3333333*(0.5*(O3/S3)/(AE3/AI3)+0.4*((P3/S3)/(AF3/AI3))+0.1*((Q3/S3)/(AG3/AI3)))),4)</f>
        <v>0.3508</v>
      </c>
      <c r="V3" s="104">
        <f t="shared" ref="V3:V36" si="8">X3/T3</f>
        <v>35971158.135544755</v>
      </c>
      <c r="W3" s="143">
        <f t="shared" ref="W3:W36" si="9">V3-X3</f>
        <v>23392044.135544755</v>
      </c>
      <c r="X3" s="104">
        <f>Dashboard!$F$12*(1+$B$25)^(D3-1)</f>
        <v>12579114</v>
      </c>
      <c r="Y3" s="104">
        <f t="shared" ref="Y3:Y26" si="10">V3*U3</f>
        <v>12618682.2739491</v>
      </c>
      <c r="Z3" s="99">
        <f>Y3-X3</f>
        <v>39568.273949099705</v>
      </c>
      <c r="AA3" s="99">
        <f>L3</f>
        <v>137285.99999999997</v>
      </c>
      <c r="AB3" s="99">
        <f>AA3-Z3</f>
        <v>97717.726050900266</v>
      </c>
      <c r="AD3" s="105"/>
      <c r="AE3" s="106">
        <f>Dashboard!$C$31*(1+$B$13)^(1-D3)+H3</f>
        <v>1170110111098.9373</v>
      </c>
      <c r="AF3" s="107">
        <f>AF2*(1+$B$14)</f>
        <v>271432497952.66599</v>
      </c>
      <c r="AG3" s="107">
        <f>AG2*(1+$B$15)</f>
        <v>100207273998.17998</v>
      </c>
      <c r="AH3" s="107">
        <f>AH2*(1+$B$16)</f>
        <v>1239781.2999999996</v>
      </c>
      <c r="AI3" s="64">
        <f t="shared" ref="AI3:AI36" si="11">AI2*(1+$B$17)</f>
        <v>8382993</v>
      </c>
    </row>
    <row r="4" spans="1:35" x14ac:dyDescent="0.3">
      <c r="A4" s="55" t="s">
        <v>274</v>
      </c>
      <c r="B4" s="64">
        <f>Dashboard!C7</f>
        <v>100000000</v>
      </c>
      <c r="D4" s="74">
        <v>3</v>
      </c>
      <c r="E4" s="99">
        <f t="shared" si="0"/>
        <v>19999999.999999996</v>
      </c>
      <c r="F4" s="99">
        <f t="shared" si="1"/>
        <v>19999999.999999996</v>
      </c>
      <c r="G4" s="100">
        <v>0.9</v>
      </c>
      <c r="H4" s="75">
        <f t="shared" si="2"/>
        <v>17999999.999999996</v>
      </c>
      <c r="I4" s="75">
        <f t="shared" ref="I4:I36" si="12">I3*(1+$B$24)</f>
        <v>5670000</v>
      </c>
      <c r="J4" s="75">
        <f t="shared" si="3"/>
        <v>23669999.999999996</v>
      </c>
      <c r="K4" s="101">
        <f t="shared" si="4"/>
        <v>0.57999999999999996</v>
      </c>
      <c r="L4" s="75">
        <f t="shared" si="5"/>
        <v>137285.99999999997</v>
      </c>
      <c r="N4" s="99">
        <f t="shared" ref="N4:N36" si="13">N3*(1+$B$19)</f>
        <v>4012143667.4039736</v>
      </c>
      <c r="O4" s="99">
        <f t="shared" si="6"/>
        <v>4035813667.4039736</v>
      </c>
      <c r="P4" s="99">
        <f t="shared" ref="P4:P36" si="14">P3*(1+$B$20)</f>
        <v>645493528</v>
      </c>
      <c r="Q4" s="99">
        <f t="shared" ref="Q4:Q36" si="15">Q3*(1+$B$21)</f>
        <v>502574536.38</v>
      </c>
      <c r="R4" s="102">
        <f t="shared" ref="R4:R36" si="16">R3*(1+$B$22)</f>
        <v>5102.46</v>
      </c>
      <c r="S4" s="58">
        <f t="shared" ref="S4:S36" si="17">S3*(1+$B$23)</f>
        <v>33516</v>
      </c>
      <c r="T4" s="103">
        <f>ROUND((1-0.55)*(0.666666*(0.5*(N4/R4)/(Dashboard!$C$31/AH4)+0.4*((P4/R4)/(Dashboard!$C$33/AH4))+0.1*((Q4/R4)/(Dashboard!$C$34/AH4)))+0.3333333*(0.5*(N4/S4)/(Dashboard!$C$31/AI4)+0.4*((P4/S4)/(Dashboard!$C$33/AI4))+0.1*((Q4/S4)/(Dashboard!$C$34/AI4)))),4)</f>
        <v>0.34970000000000001</v>
      </c>
      <c r="U4" s="103">
        <f t="shared" si="7"/>
        <v>0.3508</v>
      </c>
      <c r="V4" s="104">
        <f t="shared" si="8"/>
        <v>35971158.135544755</v>
      </c>
      <c r="W4" s="143">
        <f t="shared" si="9"/>
        <v>23392044.135544755</v>
      </c>
      <c r="X4" s="104">
        <f>Dashboard!$F$12*(1+$B$25)^(D4-1)</f>
        <v>12579114</v>
      </c>
      <c r="Y4" s="104">
        <f t="shared" si="10"/>
        <v>12618682.2739491</v>
      </c>
      <c r="Z4" s="99">
        <f t="shared" ref="Z4:Z26" si="18">Y4-X4</f>
        <v>39568.273949099705</v>
      </c>
      <c r="AA4" s="99">
        <f t="shared" ref="AA4:AA26" si="19">L4</f>
        <v>137285.99999999997</v>
      </c>
      <c r="AB4" s="99">
        <f t="shared" ref="AB4:AB26" si="20">AA4-Z4</f>
        <v>97717.726050900266</v>
      </c>
      <c r="AE4" s="106">
        <f>Dashboard!$C$31*(1+$B$13)^(1-D4)+H4</f>
        <v>1170110111098.9373</v>
      </c>
      <c r="AF4" s="107">
        <f t="shared" ref="AF4:AF36" si="21">AF3*(1+$B$14)</f>
        <v>271432497952.66599</v>
      </c>
      <c r="AG4" s="107">
        <f t="shared" ref="AG4:AG36" si="22">AG3*(1+$B$15)</f>
        <v>100207273998.17998</v>
      </c>
      <c r="AH4" s="107">
        <f t="shared" ref="AH4:AH36" si="23">AH3*(1+$B$16)</f>
        <v>1239781.2999999996</v>
      </c>
      <c r="AI4" s="64">
        <f t="shared" si="11"/>
        <v>8382993</v>
      </c>
    </row>
    <row r="5" spans="1:35" x14ac:dyDescent="0.3">
      <c r="A5" s="55" t="s">
        <v>343</v>
      </c>
      <c r="B5" s="130">
        <f>Dashboard!C8</f>
        <v>1</v>
      </c>
      <c r="D5" s="74">
        <v>4</v>
      </c>
      <c r="E5" s="99">
        <f t="shared" si="0"/>
        <v>19999999.999999996</v>
      </c>
      <c r="F5" s="99">
        <f t="shared" si="1"/>
        <v>19999999.999999996</v>
      </c>
      <c r="G5" s="100">
        <v>0.9</v>
      </c>
      <c r="H5" s="75">
        <f t="shared" si="2"/>
        <v>17999999.999999996</v>
      </c>
      <c r="I5" s="75">
        <f t="shared" si="12"/>
        <v>5670000</v>
      </c>
      <c r="J5" s="75">
        <f t="shared" si="3"/>
        <v>23669999.999999996</v>
      </c>
      <c r="K5" s="101">
        <f t="shared" si="4"/>
        <v>0.57999999999999996</v>
      </c>
      <c r="L5" s="75">
        <f t="shared" si="5"/>
        <v>137285.99999999997</v>
      </c>
      <c r="N5" s="99">
        <f t="shared" si="13"/>
        <v>4012143667.4039736</v>
      </c>
      <c r="O5" s="99">
        <f t="shared" si="6"/>
        <v>4035813667.4039736</v>
      </c>
      <c r="P5" s="99">
        <f t="shared" si="14"/>
        <v>645493528</v>
      </c>
      <c r="Q5" s="99">
        <f t="shared" si="15"/>
        <v>502574536.38</v>
      </c>
      <c r="R5" s="102">
        <f t="shared" si="16"/>
        <v>5102.46</v>
      </c>
      <c r="S5" s="58">
        <f t="shared" si="17"/>
        <v>33516</v>
      </c>
      <c r="T5" s="103">
        <f>ROUND((1-0.55)*(0.666666*(0.5*(N5/R5)/(Dashboard!$C$31/AH5)+0.4*((P5/R5)/(Dashboard!$C$33/AH5))+0.1*((Q5/R5)/(Dashboard!$C$34/AH5)))+0.3333333*(0.5*(N5/S5)/(Dashboard!$C$31/AI5)+0.4*((P5/S5)/(Dashboard!$C$33/AI5))+0.1*((Q5/S5)/(Dashboard!$C$34/AI5)))),4)</f>
        <v>0.34970000000000001</v>
      </c>
      <c r="U5" s="103">
        <f t="shared" si="7"/>
        <v>0.3508</v>
      </c>
      <c r="V5" s="104">
        <f t="shared" si="8"/>
        <v>35971158.135544755</v>
      </c>
      <c r="W5" s="143">
        <f t="shared" si="9"/>
        <v>23392044.135544755</v>
      </c>
      <c r="X5" s="104">
        <f>Dashboard!$F$12*(1+$B$25)^(D5-1)</f>
        <v>12579114</v>
      </c>
      <c r="Y5" s="104">
        <f t="shared" si="10"/>
        <v>12618682.2739491</v>
      </c>
      <c r="Z5" s="99">
        <f t="shared" si="18"/>
        <v>39568.273949099705</v>
      </c>
      <c r="AA5" s="99">
        <f t="shared" si="19"/>
        <v>137285.99999999997</v>
      </c>
      <c r="AB5" s="99">
        <f t="shared" si="20"/>
        <v>97717.726050900266</v>
      </c>
      <c r="AD5" s="111"/>
      <c r="AE5" s="106">
        <f>Dashboard!$C$31*(1+$B$13)^(1-D5)+H5</f>
        <v>1170110111098.9373</v>
      </c>
      <c r="AF5" s="107">
        <f t="shared" si="21"/>
        <v>271432497952.66599</v>
      </c>
      <c r="AG5" s="107">
        <f t="shared" si="22"/>
        <v>100207273998.17998</v>
      </c>
      <c r="AH5" s="107">
        <f t="shared" si="23"/>
        <v>1239781.2999999996</v>
      </c>
      <c r="AI5" s="64">
        <f t="shared" si="11"/>
        <v>8382993</v>
      </c>
    </row>
    <row r="6" spans="1:35" x14ac:dyDescent="0.3">
      <c r="A6" s="55" t="s">
        <v>342</v>
      </c>
      <c r="B6" s="56">
        <f>Dashboard!C9</f>
        <v>0.57999999999999996</v>
      </c>
      <c r="D6" s="74">
        <v>5</v>
      </c>
      <c r="E6" s="99">
        <f t="shared" si="0"/>
        <v>19999999.999999996</v>
      </c>
      <c r="F6" s="99">
        <f t="shared" si="1"/>
        <v>19999999.999999996</v>
      </c>
      <c r="G6" s="100">
        <v>0.89729999999999999</v>
      </c>
      <c r="H6" s="75">
        <f t="shared" si="2"/>
        <v>17945999.999999996</v>
      </c>
      <c r="I6" s="75">
        <f t="shared" si="12"/>
        <v>5670000</v>
      </c>
      <c r="J6" s="75">
        <f t="shared" si="3"/>
        <v>23615999.999999996</v>
      </c>
      <c r="K6" s="101">
        <f t="shared" si="4"/>
        <v>0.57999999999999996</v>
      </c>
      <c r="L6" s="75">
        <f t="shared" si="5"/>
        <v>136972.79999999996</v>
      </c>
      <c r="N6" s="99">
        <f t="shared" si="13"/>
        <v>4012143667.4039736</v>
      </c>
      <c r="O6" s="99">
        <f t="shared" si="6"/>
        <v>4035759667.4039736</v>
      </c>
      <c r="P6" s="99">
        <f t="shared" si="14"/>
        <v>645493528</v>
      </c>
      <c r="Q6" s="99">
        <f t="shared" si="15"/>
        <v>502574536.38</v>
      </c>
      <c r="R6" s="102">
        <f t="shared" si="16"/>
        <v>5102.46</v>
      </c>
      <c r="S6" s="58">
        <f t="shared" si="17"/>
        <v>33516</v>
      </c>
      <c r="T6" s="103">
        <f>ROUND((1-0.55)*(0.666666*(0.5*(N6/R6)/(Dashboard!$C$31/AH6)+0.4*((P6/R6)/(Dashboard!$C$33/AH6))+0.1*((Q6/R6)/(Dashboard!$C$34/AH6)))+0.3333333*(0.5*(N6/S6)/(Dashboard!$C$31/AI6)+0.4*((P6/S6)/(Dashboard!$C$33/AI6))+0.1*((Q6/S6)/(Dashboard!$C$34/AI6)))),4)</f>
        <v>0.34970000000000001</v>
      </c>
      <c r="U6" s="103">
        <f t="shared" si="7"/>
        <v>0.3508</v>
      </c>
      <c r="V6" s="104">
        <f t="shared" si="8"/>
        <v>35971158.135544755</v>
      </c>
      <c r="W6" s="143">
        <f t="shared" si="9"/>
        <v>23392044.135544755</v>
      </c>
      <c r="X6" s="104">
        <f>Dashboard!$F$12*(1+$B$25)^(D6-1)</f>
        <v>12579114</v>
      </c>
      <c r="Y6" s="104">
        <f t="shared" si="10"/>
        <v>12618682.2739491</v>
      </c>
      <c r="Z6" s="99">
        <f t="shared" si="18"/>
        <v>39568.273949099705</v>
      </c>
      <c r="AA6" s="99">
        <f t="shared" si="19"/>
        <v>136972.79999999996</v>
      </c>
      <c r="AB6" s="99">
        <f t="shared" si="20"/>
        <v>97404.526050900255</v>
      </c>
      <c r="AE6" s="106">
        <f>Dashboard!$C$31*(1+$B$13)^(1-D6)+H6</f>
        <v>1170110057098.9373</v>
      </c>
      <c r="AF6" s="107">
        <f t="shared" si="21"/>
        <v>271432497952.66599</v>
      </c>
      <c r="AG6" s="107">
        <f t="shared" si="22"/>
        <v>100207273998.17998</v>
      </c>
      <c r="AH6" s="107">
        <f t="shared" si="23"/>
        <v>1239781.2999999996</v>
      </c>
      <c r="AI6" s="64">
        <f t="shared" si="11"/>
        <v>8382993</v>
      </c>
    </row>
    <row r="7" spans="1:35" x14ac:dyDescent="0.3">
      <c r="A7" s="55" t="s">
        <v>137</v>
      </c>
      <c r="B7" s="112">
        <f>Dashboard!C10</f>
        <v>0.8</v>
      </c>
      <c r="D7" s="74">
        <v>6</v>
      </c>
      <c r="E7" s="99">
        <f t="shared" si="0"/>
        <v>19999999.999999996</v>
      </c>
      <c r="F7" s="99">
        <f t="shared" si="1"/>
        <v>19999999.999999996</v>
      </c>
      <c r="G7" s="100">
        <v>0.87290000000000001</v>
      </c>
      <c r="H7" s="75">
        <f t="shared" si="2"/>
        <v>17457999.999999996</v>
      </c>
      <c r="I7" s="75">
        <f t="shared" si="12"/>
        <v>5670000</v>
      </c>
      <c r="J7" s="75">
        <f t="shared" si="3"/>
        <v>23127999.999999996</v>
      </c>
      <c r="K7" s="101">
        <f t="shared" si="4"/>
        <v>0.57999999999999996</v>
      </c>
      <c r="L7" s="75">
        <f t="shared" si="5"/>
        <v>134142.39999999997</v>
      </c>
      <c r="N7" s="99">
        <f t="shared" si="13"/>
        <v>4012143667.4039736</v>
      </c>
      <c r="O7" s="99">
        <f t="shared" si="6"/>
        <v>4035271667.4039736</v>
      </c>
      <c r="P7" s="99">
        <f t="shared" si="14"/>
        <v>645493528</v>
      </c>
      <c r="Q7" s="99">
        <f t="shared" si="15"/>
        <v>502574536.38</v>
      </c>
      <c r="R7" s="102">
        <f t="shared" si="16"/>
        <v>5102.46</v>
      </c>
      <c r="S7" s="58">
        <f t="shared" si="17"/>
        <v>33516</v>
      </c>
      <c r="T7" s="103">
        <f>ROUND((1-0.55)*(0.666666*(0.5*(N7/R7)/(Dashboard!$C$31/AH7)+0.4*((P7/R7)/(Dashboard!$C$33/AH7))+0.1*((Q7/R7)/(Dashboard!$C$34/AH7)))+0.3333333*(0.5*(N7/S7)/(Dashboard!$C$31/AI7)+0.4*((P7/S7)/(Dashboard!$C$33/AI7))+0.1*((Q7/S7)/(Dashboard!$C$34/AI7)))),4)</f>
        <v>0.34970000000000001</v>
      </c>
      <c r="U7" s="103">
        <f t="shared" si="7"/>
        <v>0.35070000000000001</v>
      </c>
      <c r="V7" s="104">
        <f t="shared" si="8"/>
        <v>35971158.135544755</v>
      </c>
      <c r="W7" s="143">
        <f t="shared" si="9"/>
        <v>23392044.135544755</v>
      </c>
      <c r="X7" s="104">
        <f>Dashboard!$F$12*(1+$B$25)^(D7-1)</f>
        <v>12579114</v>
      </c>
      <c r="Y7" s="104">
        <f t="shared" si="10"/>
        <v>12615085.158135546</v>
      </c>
      <c r="Z7" s="99">
        <f t="shared" si="18"/>
        <v>35971.158135546371</v>
      </c>
      <c r="AA7" s="99">
        <f t="shared" si="19"/>
        <v>134142.39999999997</v>
      </c>
      <c r="AB7" s="99">
        <f t="shared" si="20"/>
        <v>98171.241864453594</v>
      </c>
      <c r="AE7" s="106">
        <f>Dashboard!$C$31*(1+$B$13)^(1-D7)+H7</f>
        <v>1170109569098.9373</v>
      </c>
      <c r="AF7" s="107">
        <f t="shared" si="21"/>
        <v>271432497952.66599</v>
      </c>
      <c r="AG7" s="107">
        <f t="shared" si="22"/>
        <v>100207273998.17998</v>
      </c>
      <c r="AH7" s="107">
        <f t="shared" si="23"/>
        <v>1239781.2999999996</v>
      </c>
      <c r="AI7" s="64">
        <f t="shared" si="11"/>
        <v>8382993</v>
      </c>
    </row>
    <row r="8" spans="1:35" ht="15" thickBot="1" x14ac:dyDescent="0.35">
      <c r="A8" s="55" t="s">
        <v>306</v>
      </c>
      <c r="B8" s="113">
        <f>Dashboard!C11</f>
        <v>35</v>
      </c>
      <c r="D8" s="74">
        <v>7</v>
      </c>
      <c r="E8" s="99">
        <f t="shared" si="0"/>
        <v>19999999.999999996</v>
      </c>
      <c r="F8" s="99">
        <f t="shared" si="1"/>
        <v>19999999.999999996</v>
      </c>
      <c r="G8" s="100">
        <v>0.84699999999999998</v>
      </c>
      <c r="H8" s="75">
        <f t="shared" si="2"/>
        <v>16939999.999999996</v>
      </c>
      <c r="I8" s="75">
        <f t="shared" si="12"/>
        <v>5670000</v>
      </c>
      <c r="J8" s="75">
        <f t="shared" si="3"/>
        <v>22609999.999999996</v>
      </c>
      <c r="K8" s="101">
        <f t="shared" si="4"/>
        <v>0.57999999999999996</v>
      </c>
      <c r="L8" s="75">
        <f t="shared" si="5"/>
        <v>131137.99999999997</v>
      </c>
      <c r="N8" s="99">
        <f t="shared" si="13"/>
        <v>4012143667.4039736</v>
      </c>
      <c r="O8" s="99">
        <f t="shared" si="6"/>
        <v>4034753667.4039736</v>
      </c>
      <c r="P8" s="99">
        <f t="shared" si="14"/>
        <v>645493528</v>
      </c>
      <c r="Q8" s="99">
        <f t="shared" si="15"/>
        <v>502574536.38</v>
      </c>
      <c r="R8" s="102">
        <f t="shared" si="16"/>
        <v>5102.46</v>
      </c>
      <c r="S8" s="58">
        <f t="shared" si="17"/>
        <v>33516</v>
      </c>
      <c r="T8" s="103">
        <f>ROUND((1-0.55)*(0.666666*(0.5*(N8/R8)/(Dashboard!$C$31/AH8)+0.4*((P8/R8)/(Dashboard!$C$33/AH8))+0.1*((Q8/R8)/(Dashboard!$C$34/AH8)))+0.3333333*(0.5*(N8/S8)/(Dashboard!$C$31/AI8)+0.4*((P8/S8)/(Dashboard!$C$33/AI8))+0.1*((Q8/S8)/(Dashboard!$C$34/AI8)))),4)</f>
        <v>0.34970000000000001</v>
      </c>
      <c r="U8" s="103">
        <f t="shared" si="7"/>
        <v>0.35070000000000001</v>
      </c>
      <c r="V8" s="104">
        <f t="shared" si="8"/>
        <v>35971158.135544755</v>
      </c>
      <c r="W8" s="143">
        <f t="shared" si="9"/>
        <v>23392044.135544755</v>
      </c>
      <c r="X8" s="104">
        <f>Dashboard!$F$12*(1+$B$25)^(D8-1)</f>
        <v>12579114</v>
      </c>
      <c r="Y8" s="104">
        <f t="shared" si="10"/>
        <v>12615085.158135546</v>
      </c>
      <c r="Z8" s="99">
        <f t="shared" si="18"/>
        <v>35971.158135546371</v>
      </c>
      <c r="AA8" s="99">
        <f t="shared" si="19"/>
        <v>131137.99999999997</v>
      </c>
      <c r="AB8" s="99">
        <f t="shared" si="20"/>
        <v>95166.8418644536</v>
      </c>
      <c r="AE8" s="106">
        <f>Dashboard!$C$31*(1+$B$13)^(1-D8)+H8</f>
        <v>1170109051098.9373</v>
      </c>
      <c r="AF8" s="107">
        <f t="shared" si="21"/>
        <v>271432497952.66599</v>
      </c>
      <c r="AG8" s="107">
        <f t="shared" si="22"/>
        <v>100207273998.17998</v>
      </c>
      <c r="AH8" s="107">
        <f t="shared" si="23"/>
        <v>1239781.2999999996</v>
      </c>
      <c r="AI8" s="64">
        <f t="shared" si="11"/>
        <v>8382993</v>
      </c>
    </row>
    <row r="9" spans="1:35" x14ac:dyDescent="0.3">
      <c r="A9" s="154" t="s">
        <v>305</v>
      </c>
      <c r="B9" s="155"/>
      <c r="D9" s="74">
        <v>8</v>
      </c>
      <c r="E9" s="99">
        <f t="shared" si="0"/>
        <v>19999999.999999996</v>
      </c>
      <c r="F9" s="99">
        <f>E9*$B$5</f>
        <v>19999999.999999996</v>
      </c>
      <c r="G9" s="100">
        <v>0.8196</v>
      </c>
      <c r="H9" s="75">
        <f t="shared" si="2"/>
        <v>16391999.999999996</v>
      </c>
      <c r="I9" s="75">
        <f t="shared" si="12"/>
        <v>5670000</v>
      </c>
      <c r="J9" s="75">
        <f t="shared" si="3"/>
        <v>22061999.999999996</v>
      </c>
      <c r="K9" s="101">
        <f t="shared" si="4"/>
        <v>0.57999999999999996</v>
      </c>
      <c r="L9" s="75">
        <f t="shared" si="5"/>
        <v>127959.59999999996</v>
      </c>
      <c r="N9" s="99">
        <f t="shared" si="13"/>
        <v>4012143667.4039736</v>
      </c>
      <c r="O9" s="99">
        <f t="shared" si="6"/>
        <v>4034205667.4039736</v>
      </c>
      <c r="P9" s="99">
        <f t="shared" si="14"/>
        <v>645493528</v>
      </c>
      <c r="Q9" s="99">
        <f t="shared" si="15"/>
        <v>502574536.38</v>
      </c>
      <c r="R9" s="102">
        <f t="shared" si="16"/>
        <v>5102.46</v>
      </c>
      <c r="S9" s="58">
        <f t="shared" si="17"/>
        <v>33516</v>
      </c>
      <c r="T9" s="103">
        <f>ROUND((1-0.55)*(0.666666*(0.5*(N9/R9)/(Dashboard!$C$31/AH9)+0.4*((P9/R9)/(Dashboard!$C$33/AH9))+0.1*((Q9/R9)/(Dashboard!$C$34/AH9)))+0.3333333*(0.5*(N9/S9)/(Dashboard!$C$31/AI9)+0.4*((P9/S9)/(Dashboard!$C$33/AI9))+0.1*((Q9/S9)/(Dashboard!$C$34/AI9)))),4)</f>
        <v>0.34970000000000001</v>
      </c>
      <c r="U9" s="103">
        <f t="shared" si="7"/>
        <v>0.35070000000000001</v>
      </c>
      <c r="V9" s="104">
        <f t="shared" si="8"/>
        <v>35971158.135544755</v>
      </c>
      <c r="W9" s="143">
        <f t="shared" si="9"/>
        <v>23392044.135544755</v>
      </c>
      <c r="X9" s="104">
        <f>Dashboard!$F$12*(1+$B$25)^(D9-1)</f>
        <v>12579114</v>
      </c>
      <c r="Y9" s="104">
        <f t="shared" si="10"/>
        <v>12615085.158135546</v>
      </c>
      <c r="Z9" s="99">
        <f t="shared" si="18"/>
        <v>35971.158135546371</v>
      </c>
      <c r="AA9" s="99">
        <f t="shared" si="19"/>
        <v>127959.59999999996</v>
      </c>
      <c r="AB9" s="99">
        <f t="shared" si="20"/>
        <v>91988.441864453591</v>
      </c>
      <c r="AE9" s="106">
        <f>Dashboard!$C$31*(1+$B$13)^(1-D9)+H9</f>
        <v>1170108503098.9373</v>
      </c>
      <c r="AF9" s="107">
        <f t="shared" si="21"/>
        <v>271432497952.66599</v>
      </c>
      <c r="AG9" s="107">
        <f t="shared" si="22"/>
        <v>100207273998.17998</v>
      </c>
      <c r="AH9" s="107">
        <f t="shared" si="23"/>
        <v>1239781.2999999996</v>
      </c>
      <c r="AI9" s="64">
        <f t="shared" si="11"/>
        <v>8382993</v>
      </c>
    </row>
    <row r="10" spans="1:35" x14ac:dyDescent="0.3">
      <c r="A10" s="55" t="s">
        <v>299</v>
      </c>
      <c r="B10" s="114">
        <f ca="1">NPV(Dashboard!$C$12,AB2:OFFSET(AB1,B8,0))</f>
        <v>1487013.8271228636</v>
      </c>
      <c r="D10" s="74">
        <v>9</v>
      </c>
      <c r="E10" s="99">
        <f t="shared" si="0"/>
        <v>19999999.999999996</v>
      </c>
      <c r="F10" s="99">
        <f t="shared" si="1"/>
        <v>19999999.999999996</v>
      </c>
      <c r="G10" s="100">
        <v>0.79059999999999997</v>
      </c>
      <c r="H10" s="75">
        <f t="shared" si="2"/>
        <v>15811999.999999996</v>
      </c>
      <c r="I10" s="75">
        <f t="shared" si="12"/>
        <v>5670000</v>
      </c>
      <c r="J10" s="75">
        <f t="shared" si="3"/>
        <v>21481999.999999996</v>
      </c>
      <c r="K10" s="101">
        <f t="shared" si="4"/>
        <v>0.57999999999999996</v>
      </c>
      <c r="L10" s="75">
        <f t="shared" si="5"/>
        <v>124595.59999999996</v>
      </c>
      <c r="N10" s="99">
        <f t="shared" si="13"/>
        <v>4012143667.4039736</v>
      </c>
      <c r="O10" s="99">
        <f t="shared" si="6"/>
        <v>4033625667.4039736</v>
      </c>
      <c r="P10" s="99">
        <f t="shared" si="14"/>
        <v>645493528</v>
      </c>
      <c r="Q10" s="99">
        <f t="shared" si="15"/>
        <v>502574536.38</v>
      </c>
      <c r="R10" s="102">
        <f t="shared" si="16"/>
        <v>5102.46</v>
      </c>
      <c r="S10" s="58">
        <f t="shared" si="17"/>
        <v>33516</v>
      </c>
      <c r="T10" s="103">
        <f>ROUND((1-0.55)*(0.666666*(0.5*(N10/R10)/(Dashboard!$C$31/AH10)+0.4*((P10/R10)/(Dashboard!$C$33/AH10))+0.1*((Q10/R10)/(Dashboard!$C$34/AH10)))+0.3333333*(0.5*(N10/S10)/(Dashboard!$C$31/AI10)+0.4*((P10/S10)/(Dashboard!$C$33/AI10))+0.1*((Q10/S10)/(Dashboard!$C$34/AI10)))),4)</f>
        <v>0.34970000000000001</v>
      </c>
      <c r="U10" s="103">
        <f t="shared" si="7"/>
        <v>0.35070000000000001</v>
      </c>
      <c r="V10" s="104">
        <f t="shared" si="8"/>
        <v>35971158.135544755</v>
      </c>
      <c r="W10" s="143">
        <f t="shared" si="9"/>
        <v>23392044.135544755</v>
      </c>
      <c r="X10" s="104">
        <f>Dashboard!$F$12*(1+$B$25)^(D10-1)</f>
        <v>12579114</v>
      </c>
      <c r="Y10" s="104">
        <f t="shared" si="10"/>
        <v>12615085.158135546</v>
      </c>
      <c r="Z10" s="99">
        <f t="shared" si="18"/>
        <v>35971.158135546371</v>
      </c>
      <c r="AA10" s="99">
        <f t="shared" si="19"/>
        <v>124595.59999999996</v>
      </c>
      <c r="AB10" s="99">
        <f t="shared" si="20"/>
        <v>88624.441864453591</v>
      </c>
      <c r="AE10" s="106">
        <f>Dashboard!$C$31*(1+$B$13)^(1-D10)+H10</f>
        <v>1170107923098.9373</v>
      </c>
      <c r="AF10" s="107">
        <f t="shared" si="21"/>
        <v>271432497952.66599</v>
      </c>
      <c r="AG10" s="107">
        <f t="shared" si="22"/>
        <v>100207273998.17998</v>
      </c>
      <c r="AH10" s="107">
        <f t="shared" si="23"/>
        <v>1239781.2999999996</v>
      </c>
      <c r="AI10" s="64">
        <f t="shared" si="11"/>
        <v>8382993</v>
      </c>
    </row>
    <row r="11" spans="1:35" ht="15" thickBot="1" x14ac:dyDescent="0.35">
      <c r="A11" s="59" t="s">
        <v>301</v>
      </c>
      <c r="B11" s="115">
        <f ca="1">SUM(AB2:AB2:OFFSET(AB1,B8,0))</f>
        <v>2180003.7419502223</v>
      </c>
      <c r="D11" s="74">
        <v>10</v>
      </c>
      <c r="E11" s="99">
        <f t="shared" si="0"/>
        <v>19999999.999999996</v>
      </c>
      <c r="F11" s="99">
        <f t="shared" si="1"/>
        <v>19999999.999999996</v>
      </c>
      <c r="G11" s="100">
        <v>0.75980000000000003</v>
      </c>
      <c r="H11" s="75">
        <f t="shared" si="2"/>
        <v>15195999.999999998</v>
      </c>
      <c r="I11" s="75">
        <f t="shared" si="12"/>
        <v>5670000</v>
      </c>
      <c r="J11" s="75">
        <f t="shared" si="3"/>
        <v>20866000</v>
      </c>
      <c r="K11" s="101">
        <f t="shared" si="4"/>
        <v>0.57999999999999996</v>
      </c>
      <c r="L11" s="75">
        <f t="shared" si="5"/>
        <v>121022.8</v>
      </c>
      <c r="N11" s="99">
        <f t="shared" si="13"/>
        <v>4012143667.4039736</v>
      </c>
      <c r="O11" s="99">
        <f t="shared" si="6"/>
        <v>4033009667.4039736</v>
      </c>
      <c r="P11" s="99">
        <f t="shared" si="14"/>
        <v>645493528</v>
      </c>
      <c r="Q11" s="99">
        <f t="shared" si="15"/>
        <v>502574536.38</v>
      </c>
      <c r="R11" s="102">
        <f t="shared" si="16"/>
        <v>5102.46</v>
      </c>
      <c r="S11" s="58">
        <f t="shared" si="17"/>
        <v>33516</v>
      </c>
      <c r="T11" s="103">
        <f>ROUND((1-0.55)*(0.666666*(0.5*(N11/R11)/(Dashboard!$C$31/AH11)+0.4*((P11/R11)/(Dashboard!$C$33/AH11))+0.1*((Q11/R11)/(Dashboard!$C$34/AH11)))+0.3333333*(0.5*(N11/S11)/(Dashboard!$C$31/AI11)+0.4*((P11/S11)/(Dashboard!$C$33/AI11))+0.1*((Q11/S11)/(Dashboard!$C$34/AI11)))),4)</f>
        <v>0.34970000000000001</v>
      </c>
      <c r="U11" s="103">
        <f t="shared" si="7"/>
        <v>0.35060000000000002</v>
      </c>
      <c r="V11" s="104">
        <f t="shared" si="8"/>
        <v>35971158.135544755</v>
      </c>
      <c r="W11" s="143">
        <f t="shared" si="9"/>
        <v>23392044.135544755</v>
      </c>
      <c r="X11" s="104">
        <f>Dashboard!$F$12*(1+$B$25)^(D11-1)</f>
        <v>12579114</v>
      </c>
      <c r="Y11" s="104">
        <f t="shared" si="10"/>
        <v>12611488.042321991</v>
      </c>
      <c r="Z11" s="99">
        <f t="shared" si="18"/>
        <v>32374.042321991175</v>
      </c>
      <c r="AA11" s="99">
        <f t="shared" si="19"/>
        <v>121022.8</v>
      </c>
      <c r="AB11" s="99">
        <f t="shared" si="20"/>
        <v>88648.757678008827</v>
      </c>
      <c r="AE11" s="106">
        <f>Dashboard!$C$31*(1+$B$13)^(1-D11)+H11</f>
        <v>1170107307098.9373</v>
      </c>
      <c r="AF11" s="107">
        <f t="shared" si="21"/>
        <v>271432497952.66599</v>
      </c>
      <c r="AG11" s="107">
        <f t="shared" si="22"/>
        <v>100207273998.17998</v>
      </c>
      <c r="AH11" s="107">
        <f t="shared" si="23"/>
        <v>1239781.2999999996</v>
      </c>
      <c r="AI11" s="64">
        <f t="shared" si="11"/>
        <v>8382993</v>
      </c>
    </row>
    <row r="12" spans="1:35" x14ac:dyDescent="0.3">
      <c r="A12" s="154" t="s">
        <v>310</v>
      </c>
      <c r="B12" s="155"/>
      <c r="D12" s="74">
        <v>11</v>
      </c>
      <c r="E12" s="99">
        <f t="shared" si="0"/>
        <v>19999999.999999996</v>
      </c>
      <c r="F12" s="99">
        <f t="shared" si="1"/>
        <v>19999999.999999996</v>
      </c>
      <c r="G12" s="100">
        <v>0.72709999999999997</v>
      </c>
      <c r="H12" s="75">
        <f t="shared" si="2"/>
        <v>14541999.999999996</v>
      </c>
      <c r="I12" s="75">
        <f t="shared" si="12"/>
        <v>5670000</v>
      </c>
      <c r="J12" s="75">
        <f t="shared" si="3"/>
        <v>20211999.999999996</v>
      </c>
      <c r="K12" s="101">
        <f t="shared" si="4"/>
        <v>0.57999999999999996</v>
      </c>
      <c r="L12" s="75">
        <f t="shared" si="5"/>
        <v>117229.59999999996</v>
      </c>
      <c r="N12" s="99">
        <f t="shared" si="13"/>
        <v>4012143667.4039736</v>
      </c>
      <c r="O12" s="99">
        <f t="shared" si="6"/>
        <v>4032355667.4039736</v>
      </c>
      <c r="P12" s="99">
        <f t="shared" si="14"/>
        <v>645493528</v>
      </c>
      <c r="Q12" s="99">
        <f t="shared" si="15"/>
        <v>502574536.38</v>
      </c>
      <c r="R12" s="102">
        <f t="shared" si="16"/>
        <v>5102.46</v>
      </c>
      <c r="S12" s="58">
        <f t="shared" si="17"/>
        <v>33516</v>
      </c>
      <c r="T12" s="103">
        <f>ROUND((1-0.55)*(0.666666*(0.5*(N12/R12)/(Dashboard!$C$31/AH12)+0.4*((P12/R12)/(Dashboard!$C$33/AH12))+0.1*((Q12/R12)/(Dashboard!$C$34/AH12)))+0.3333333*(0.5*(N12/S12)/(Dashboard!$C$31/AI12)+0.4*((P12/S12)/(Dashboard!$C$33/AI12))+0.1*((Q12/S12)/(Dashboard!$C$34/AI12)))),4)</f>
        <v>0.34970000000000001</v>
      </c>
      <c r="U12" s="103">
        <f t="shared" si="7"/>
        <v>0.35060000000000002</v>
      </c>
      <c r="V12" s="104">
        <f t="shared" si="8"/>
        <v>35971158.135544755</v>
      </c>
      <c r="W12" s="143">
        <f t="shared" si="9"/>
        <v>23392044.135544755</v>
      </c>
      <c r="X12" s="104">
        <f>Dashboard!$F$12*(1+$B$25)^(D12-1)</f>
        <v>12579114</v>
      </c>
      <c r="Y12" s="104">
        <f t="shared" si="10"/>
        <v>12611488.042321991</v>
      </c>
      <c r="Z12" s="99">
        <f t="shared" si="18"/>
        <v>32374.042321991175</v>
      </c>
      <c r="AA12" s="99">
        <f t="shared" si="19"/>
        <v>117229.59999999996</v>
      </c>
      <c r="AB12" s="99">
        <f t="shared" si="20"/>
        <v>84855.557678008787</v>
      </c>
      <c r="AE12" s="106">
        <f>Dashboard!$C$31*(1+$B$13)^(1-D12)+H12</f>
        <v>1170106653098.9373</v>
      </c>
      <c r="AF12" s="107">
        <f t="shared" si="21"/>
        <v>271432497952.66599</v>
      </c>
      <c r="AG12" s="107">
        <f t="shared" si="22"/>
        <v>100207273998.17998</v>
      </c>
      <c r="AH12" s="107">
        <f t="shared" si="23"/>
        <v>1239781.2999999996</v>
      </c>
      <c r="AI12" s="64">
        <f t="shared" si="11"/>
        <v>8382993</v>
      </c>
    </row>
    <row r="13" spans="1:35" x14ac:dyDescent="0.3">
      <c r="A13" s="55" t="s">
        <v>0</v>
      </c>
      <c r="B13" s="79">
        <v>0</v>
      </c>
      <c r="D13" s="74">
        <v>12</v>
      </c>
      <c r="E13" s="99">
        <f t="shared" si="0"/>
        <v>19999999.999999996</v>
      </c>
      <c r="F13" s="99">
        <f t="shared" si="1"/>
        <v>19999999.999999996</v>
      </c>
      <c r="G13" s="100">
        <v>0.6925</v>
      </c>
      <c r="H13" s="75">
        <f t="shared" si="2"/>
        <v>13849999.999999998</v>
      </c>
      <c r="I13" s="75">
        <f t="shared" si="12"/>
        <v>5670000</v>
      </c>
      <c r="J13" s="75">
        <f t="shared" si="3"/>
        <v>19520000</v>
      </c>
      <c r="K13" s="101">
        <f t="shared" si="4"/>
        <v>0.57999999999999996</v>
      </c>
      <c r="L13" s="75">
        <f t="shared" si="5"/>
        <v>113216</v>
      </c>
      <c r="N13" s="99">
        <f t="shared" si="13"/>
        <v>4012143667.4039736</v>
      </c>
      <c r="O13" s="99">
        <f t="shared" si="6"/>
        <v>4031663667.4039736</v>
      </c>
      <c r="P13" s="99">
        <f t="shared" si="14"/>
        <v>645493528</v>
      </c>
      <c r="Q13" s="99">
        <f t="shared" si="15"/>
        <v>502574536.38</v>
      </c>
      <c r="R13" s="102">
        <f t="shared" si="16"/>
        <v>5102.46</v>
      </c>
      <c r="S13" s="58">
        <f t="shared" si="17"/>
        <v>33516</v>
      </c>
      <c r="T13" s="103">
        <f>ROUND((1-0.55)*(0.666666*(0.5*(N13/R13)/(Dashboard!$C$31/AH13)+0.4*((P13/R13)/(Dashboard!$C$33/AH13))+0.1*((Q13/R13)/(Dashboard!$C$34/AH13)))+0.3333333*(0.5*(N13/S13)/(Dashboard!$C$31/AI13)+0.4*((P13/S13)/(Dashboard!$C$33/AI13))+0.1*((Q13/S13)/(Dashboard!$C$34/AI13)))),4)</f>
        <v>0.34970000000000001</v>
      </c>
      <c r="U13" s="103">
        <f t="shared" si="7"/>
        <v>0.35060000000000002</v>
      </c>
      <c r="V13" s="104">
        <f t="shared" si="8"/>
        <v>35971158.135544755</v>
      </c>
      <c r="W13" s="143">
        <f t="shared" si="9"/>
        <v>23392044.135544755</v>
      </c>
      <c r="X13" s="104">
        <f>Dashboard!$F$12*(1+$B$25)^(D13-1)</f>
        <v>12579114</v>
      </c>
      <c r="Y13" s="104">
        <f t="shared" si="10"/>
        <v>12611488.042321991</v>
      </c>
      <c r="Z13" s="99">
        <f t="shared" si="18"/>
        <v>32374.042321991175</v>
      </c>
      <c r="AA13" s="99">
        <f t="shared" si="19"/>
        <v>113216</v>
      </c>
      <c r="AB13" s="99">
        <f t="shared" si="20"/>
        <v>80841.957678008825</v>
      </c>
      <c r="AE13" s="106">
        <f>Dashboard!$C$31*(1+$B$13)^(1-D13)+H13</f>
        <v>1170105961098.9373</v>
      </c>
      <c r="AF13" s="107">
        <f t="shared" si="21"/>
        <v>271432497952.66599</v>
      </c>
      <c r="AG13" s="107">
        <f t="shared" si="22"/>
        <v>100207273998.17998</v>
      </c>
      <c r="AH13" s="107">
        <f t="shared" si="23"/>
        <v>1239781.2999999996</v>
      </c>
      <c r="AI13" s="64">
        <f t="shared" si="11"/>
        <v>8382993</v>
      </c>
    </row>
    <row r="14" spans="1:35" x14ac:dyDescent="0.3">
      <c r="A14" s="55" t="s">
        <v>1</v>
      </c>
      <c r="B14" s="79">
        <v>0</v>
      </c>
      <c r="D14" s="74">
        <v>13</v>
      </c>
      <c r="E14" s="99">
        <f t="shared" si="0"/>
        <v>19999999.999999996</v>
      </c>
      <c r="F14" s="99">
        <f t="shared" si="1"/>
        <v>19999999.999999996</v>
      </c>
      <c r="G14" s="100">
        <v>0.65580000000000005</v>
      </c>
      <c r="H14" s="75">
        <f t="shared" si="2"/>
        <v>13115999.999999998</v>
      </c>
      <c r="I14" s="75">
        <f t="shared" si="12"/>
        <v>5670000</v>
      </c>
      <c r="J14" s="75">
        <f t="shared" si="3"/>
        <v>18786000</v>
      </c>
      <c r="K14" s="101">
        <f t="shared" si="4"/>
        <v>0.57999999999999996</v>
      </c>
      <c r="L14" s="75">
        <f t="shared" si="5"/>
        <v>108958.8</v>
      </c>
      <c r="N14" s="99">
        <f t="shared" si="13"/>
        <v>4012143667.4039736</v>
      </c>
      <c r="O14" s="99">
        <f t="shared" si="6"/>
        <v>4030929667.4039736</v>
      </c>
      <c r="P14" s="99">
        <f t="shared" si="14"/>
        <v>645493528</v>
      </c>
      <c r="Q14" s="99">
        <f t="shared" si="15"/>
        <v>502574536.38</v>
      </c>
      <c r="R14" s="102">
        <f t="shared" si="16"/>
        <v>5102.46</v>
      </c>
      <c r="S14" s="58">
        <f t="shared" si="17"/>
        <v>33516</v>
      </c>
      <c r="T14" s="103">
        <f>ROUND((1-0.55)*(0.666666*(0.5*(N14/R14)/(Dashboard!$C$31/AH14)+0.4*((P14/R14)/(Dashboard!$C$33/AH14))+0.1*((Q14/R14)/(Dashboard!$C$34/AH14)))+0.3333333*(0.5*(N14/S14)/(Dashboard!$C$31/AI14)+0.4*((P14/S14)/(Dashboard!$C$33/AI14))+0.1*((Q14/S14)/(Dashboard!$C$34/AI14)))),4)</f>
        <v>0.34970000000000001</v>
      </c>
      <c r="U14" s="103">
        <f t="shared" si="7"/>
        <v>0.35049999999999998</v>
      </c>
      <c r="V14" s="104">
        <f t="shared" si="8"/>
        <v>35971158.135544755</v>
      </c>
      <c r="W14" s="143">
        <f t="shared" si="9"/>
        <v>23392044.135544755</v>
      </c>
      <c r="X14" s="104">
        <f>Dashboard!$F$12*(1+$B$25)^(D14-1)</f>
        <v>12579114</v>
      </c>
      <c r="Y14" s="104">
        <f t="shared" si="10"/>
        <v>12607890.926508436</v>
      </c>
      <c r="Z14" s="99">
        <f t="shared" si="18"/>
        <v>28776.926508435979</v>
      </c>
      <c r="AA14" s="99">
        <f t="shared" si="19"/>
        <v>108958.8</v>
      </c>
      <c r="AB14" s="99">
        <f t="shared" si="20"/>
        <v>80181.873491564023</v>
      </c>
      <c r="AE14" s="106">
        <f>Dashboard!$C$31*(1+$B$13)^(1-D14)+H14</f>
        <v>1170105227098.9373</v>
      </c>
      <c r="AF14" s="107">
        <f t="shared" si="21"/>
        <v>271432497952.66599</v>
      </c>
      <c r="AG14" s="107">
        <f t="shared" si="22"/>
        <v>100207273998.17998</v>
      </c>
      <c r="AH14" s="107">
        <f t="shared" si="23"/>
        <v>1239781.2999999996</v>
      </c>
      <c r="AI14" s="64">
        <f t="shared" si="11"/>
        <v>8382993</v>
      </c>
    </row>
    <row r="15" spans="1:35" x14ac:dyDescent="0.3">
      <c r="A15" s="55" t="s">
        <v>2</v>
      </c>
      <c r="B15" s="79">
        <v>0</v>
      </c>
      <c r="D15" s="74">
        <v>14</v>
      </c>
      <c r="E15" s="99">
        <f t="shared" si="0"/>
        <v>19999999.999999996</v>
      </c>
      <c r="F15" s="99">
        <f t="shared" si="1"/>
        <v>19999999.999999996</v>
      </c>
      <c r="G15" s="100">
        <v>0.61699999999999999</v>
      </c>
      <c r="H15" s="75">
        <f t="shared" si="2"/>
        <v>12339999.999999998</v>
      </c>
      <c r="I15" s="75">
        <f t="shared" si="12"/>
        <v>5670000</v>
      </c>
      <c r="J15" s="75">
        <f t="shared" si="3"/>
        <v>18010000</v>
      </c>
      <c r="K15" s="101">
        <f t="shared" si="4"/>
        <v>0.57999999999999996</v>
      </c>
      <c r="L15" s="75">
        <f t="shared" si="5"/>
        <v>104458</v>
      </c>
      <c r="N15" s="99">
        <f t="shared" si="13"/>
        <v>4012143667.4039736</v>
      </c>
      <c r="O15" s="99">
        <f t="shared" si="6"/>
        <v>4030153667.4039736</v>
      </c>
      <c r="P15" s="99">
        <f t="shared" si="14"/>
        <v>645493528</v>
      </c>
      <c r="Q15" s="99">
        <f t="shared" si="15"/>
        <v>502574536.38</v>
      </c>
      <c r="R15" s="102">
        <f t="shared" si="16"/>
        <v>5102.46</v>
      </c>
      <c r="S15" s="58">
        <f t="shared" si="17"/>
        <v>33516</v>
      </c>
      <c r="T15" s="103">
        <f>ROUND((1-0.55)*(0.666666*(0.5*(N15/R15)/(Dashboard!$C$31/AH15)+0.4*((P15/R15)/(Dashboard!$C$33/AH15))+0.1*((Q15/R15)/(Dashboard!$C$34/AH15)))+0.3333333*(0.5*(N15/S15)/(Dashboard!$C$31/AI15)+0.4*((P15/S15)/(Dashboard!$C$33/AI15))+0.1*((Q15/S15)/(Dashboard!$C$34/AI15)))),4)</f>
        <v>0.34970000000000001</v>
      </c>
      <c r="U15" s="103">
        <f t="shared" si="7"/>
        <v>0.35049999999999998</v>
      </c>
      <c r="V15" s="104">
        <f t="shared" si="8"/>
        <v>35971158.135544755</v>
      </c>
      <c r="W15" s="143">
        <f t="shared" si="9"/>
        <v>23392044.135544755</v>
      </c>
      <c r="X15" s="104">
        <f>Dashboard!$F$12*(1+$B$25)^(D15-1)</f>
        <v>12579114</v>
      </c>
      <c r="Y15" s="104">
        <f t="shared" si="10"/>
        <v>12607890.926508436</v>
      </c>
      <c r="Z15" s="99">
        <f t="shared" si="18"/>
        <v>28776.926508435979</v>
      </c>
      <c r="AA15" s="99">
        <f t="shared" si="19"/>
        <v>104458</v>
      </c>
      <c r="AB15" s="99">
        <f t="shared" si="20"/>
        <v>75681.073491564021</v>
      </c>
      <c r="AE15" s="106">
        <f>Dashboard!$C$31*(1+$B$13)^(1-D15)+H15</f>
        <v>1170104451098.9373</v>
      </c>
      <c r="AF15" s="107">
        <f t="shared" si="21"/>
        <v>271432497952.66599</v>
      </c>
      <c r="AG15" s="107">
        <f t="shared" si="22"/>
        <v>100207273998.17998</v>
      </c>
      <c r="AH15" s="107">
        <f t="shared" si="23"/>
        <v>1239781.2999999996</v>
      </c>
      <c r="AI15" s="64">
        <f t="shared" si="11"/>
        <v>8382993</v>
      </c>
    </row>
    <row r="16" spans="1:35" x14ac:dyDescent="0.3">
      <c r="A16" s="55" t="s">
        <v>3</v>
      </c>
      <c r="B16" s="79">
        <v>0</v>
      </c>
      <c r="D16" s="74">
        <v>15</v>
      </c>
      <c r="E16" s="99">
        <f t="shared" si="0"/>
        <v>19999999.999999996</v>
      </c>
      <c r="F16" s="99">
        <f t="shared" si="1"/>
        <v>19999999.999999996</v>
      </c>
      <c r="G16" s="100">
        <v>0.57579999999999998</v>
      </c>
      <c r="H16" s="75">
        <f t="shared" si="2"/>
        <v>11515999.999999998</v>
      </c>
      <c r="I16" s="75">
        <f t="shared" si="12"/>
        <v>5670000</v>
      </c>
      <c r="J16" s="75">
        <f t="shared" si="3"/>
        <v>17186000</v>
      </c>
      <c r="K16" s="101">
        <f t="shared" si="4"/>
        <v>0.57999999999999996</v>
      </c>
      <c r="L16" s="75">
        <f t="shared" si="5"/>
        <v>99678.8</v>
      </c>
      <c r="N16" s="99">
        <f t="shared" si="13"/>
        <v>4012143667.4039736</v>
      </c>
      <c r="O16" s="99">
        <f t="shared" si="6"/>
        <v>4029329667.4039736</v>
      </c>
      <c r="P16" s="99">
        <f t="shared" si="14"/>
        <v>645493528</v>
      </c>
      <c r="Q16" s="99">
        <f t="shared" si="15"/>
        <v>502574536.38</v>
      </c>
      <c r="R16" s="102">
        <f t="shared" si="16"/>
        <v>5102.46</v>
      </c>
      <c r="S16" s="58">
        <f t="shared" si="17"/>
        <v>33516</v>
      </c>
      <c r="T16" s="103">
        <f>ROUND((1-0.55)*(0.666666*(0.5*(N16/R16)/(Dashboard!$C$31/AH16)+0.4*((P16/R16)/(Dashboard!$C$33/AH16))+0.1*((Q16/R16)/(Dashboard!$C$34/AH16)))+0.3333333*(0.5*(N16/S16)/(Dashboard!$C$31/AI16)+0.4*((P16/S16)/(Dashboard!$C$33/AI16))+0.1*((Q16/S16)/(Dashboard!$C$34/AI16)))),4)</f>
        <v>0.34970000000000001</v>
      </c>
      <c r="U16" s="103">
        <f t="shared" si="7"/>
        <v>0.35049999999999998</v>
      </c>
      <c r="V16" s="104">
        <f t="shared" si="8"/>
        <v>35971158.135544755</v>
      </c>
      <c r="W16" s="143">
        <f t="shared" si="9"/>
        <v>23392044.135544755</v>
      </c>
      <c r="X16" s="104">
        <f>Dashboard!$F$12*(1+$B$25)^(D16-1)</f>
        <v>12579114</v>
      </c>
      <c r="Y16" s="104">
        <f t="shared" si="10"/>
        <v>12607890.926508436</v>
      </c>
      <c r="Z16" s="99">
        <f t="shared" si="18"/>
        <v>28776.926508435979</v>
      </c>
      <c r="AA16" s="99">
        <f t="shared" si="19"/>
        <v>99678.8</v>
      </c>
      <c r="AB16" s="99">
        <f t="shared" si="20"/>
        <v>70901.873491564023</v>
      </c>
      <c r="AE16" s="106">
        <f>Dashboard!$C$31*(1+$B$13)^(1-D16)+H16</f>
        <v>1170103627098.9373</v>
      </c>
      <c r="AF16" s="107">
        <f t="shared" si="21"/>
        <v>271432497952.66599</v>
      </c>
      <c r="AG16" s="107">
        <f t="shared" si="22"/>
        <v>100207273998.17998</v>
      </c>
      <c r="AH16" s="107">
        <f t="shared" si="23"/>
        <v>1239781.2999999996</v>
      </c>
      <c r="AI16" s="64">
        <f t="shared" si="11"/>
        <v>8382993</v>
      </c>
    </row>
    <row r="17" spans="1:35" ht="15" thickBot="1" x14ac:dyDescent="0.35">
      <c r="A17" s="55" t="s">
        <v>4</v>
      </c>
      <c r="B17" s="79">
        <v>0</v>
      </c>
      <c r="D17" s="74">
        <v>16</v>
      </c>
      <c r="E17" s="99">
        <f t="shared" si="0"/>
        <v>19999999.999999996</v>
      </c>
      <c r="F17" s="99">
        <f t="shared" si="1"/>
        <v>19999999.999999996</v>
      </c>
      <c r="G17" s="100">
        <v>0.53210000000000002</v>
      </c>
      <c r="H17" s="75">
        <f t="shared" si="2"/>
        <v>10641999.999999998</v>
      </c>
      <c r="I17" s="75">
        <f t="shared" si="12"/>
        <v>5670000</v>
      </c>
      <c r="J17" s="75">
        <f t="shared" si="3"/>
        <v>16311999.999999998</v>
      </c>
      <c r="K17" s="101">
        <f t="shared" si="4"/>
        <v>0.57999999999999996</v>
      </c>
      <c r="L17" s="75">
        <f t="shared" si="5"/>
        <v>94609.599999999977</v>
      </c>
      <c r="N17" s="99">
        <f t="shared" si="13"/>
        <v>4012143667.4039736</v>
      </c>
      <c r="O17" s="99">
        <f t="shared" si="6"/>
        <v>4028455667.4039736</v>
      </c>
      <c r="P17" s="99">
        <f t="shared" si="14"/>
        <v>645493528</v>
      </c>
      <c r="Q17" s="99">
        <f t="shared" si="15"/>
        <v>502574536.38</v>
      </c>
      <c r="R17" s="102">
        <f t="shared" si="16"/>
        <v>5102.46</v>
      </c>
      <c r="S17" s="58">
        <f t="shared" si="17"/>
        <v>33516</v>
      </c>
      <c r="T17" s="103">
        <f>ROUND((1-0.55)*(0.666666*(0.5*(N17/R17)/(Dashboard!$C$31/AH17)+0.4*((P17/R17)/(Dashboard!$C$33/AH17))+0.1*((Q17/R17)/(Dashboard!$C$34/AH17)))+0.3333333*(0.5*(N17/S17)/(Dashboard!$C$31/AI17)+0.4*((P17/S17)/(Dashboard!$C$33/AI17))+0.1*((Q17/S17)/(Dashboard!$C$34/AI17)))),4)</f>
        <v>0.34970000000000001</v>
      </c>
      <c r="U17" s="103">
        <f t="shared" si="7"/>
        <v>0.35039999999999999</v>
      </c>
      <c r="V17" s="104">
        <f t="shared" si="8"/>
        <v>35971158.135544755</v>
      </c>
      <c r="W17" s="143">
        <f t="shared" si="9"/>
        <v>23392044.135544755</v>
      </c>
      <c r="X17" s="104">
        <f>Dashboard!$F$12*(1+$B$25)^(D17-1)</f>
        <v>12579114</v>
      </c>
      <c r="Y17" s="104">
        <f t="shared" si="10"/>
        <v>12604293.810694881</v>
      </c>
      <c r="Z17" s="99">
        <f t="shared" si="18"/>
        <v>25179.810694880784</v>
      </c>
      <c r="AA17" s="99">
        <f t="shared" si="19"/>
        <v>94609.599999999977</v>
      </c>
      <c r="AB17" s="99">
        <f t="shared" si="20"/>
        <v>69429.789305119193</v>
      </c>
      <c r="AE17" s="106">
        <f>Dashboard!$C$31*(1+$B$13)^(1-D17)+H17</f>
        <v>1170102753098.9373</v>
      </c>
      <c r="AF17" s="107">
        <f t="shared" si="21"/>
        <v>271432497952.66599</v>
      </c>
      <c r="AG17" s="107">
        <f t="shared" si="22"/>
        <v>100207273998.17998</v>
      </c>
      <c r="AH17" s="107">
        <f t="shared" si="23"/>
        <v>1239781.2999999996</v>
      </c>
      <c r="AI17" s="64">
        <f t="shared" si="11"/>
        <v>8382993</v>
      </c>
    </row>
    <row r="18" spans="1:35" x14ac:dyDescent="0.3">
      <c r="A18" s="154" t="s">
        <v>311</v>
      </c>
      <c r="B18" s="155"/>
      <c r="D18" s="74">
        <v>17</v>
      </c>
      <c r="E18" s="99">
        <f t="shared" si="0"/>
        <v>19999999.999999996</v>
      </c>
      <c r="F18" s="99">
        <f t="shared" si="1"/>
        <v>19999999.999999996</v>
      </c>
      <c r="G18" s="100">
        <v>0.48580000000000001</v>
      </c>
      <c r="H18" s="75">
        <f t="shared" si="2"/>
        <v>9715999.9999999981</v>
      </c>
      <c r="I18" s="75">
        <f t="shared" si="12"/>
        <v>5670000</v>
      </c>
      <c r="J18" s="75">
        <f t="shared" si="3"/>
        <v>15385999.999999998</v>
      </c>
      <c r="K18" s="101">
        <f t="shared" si="4"/>
        <v>0.57999999999999996</v>
      </c>
      <c r="L18" s="75">
        <f t="shared" si="5"/>
        <v>89238.799999999988</v>
      </c>
      <c r="N18" s="99">
        <f t="shared" si="13"/>
        <v>4012143667.4039736</v>
      </c>
      <c r="O18" s="99">
        <f t="shared" si="6"/>
        <v>4027529667.4039736</v>
      </c>
      <c r="P18" s="99">
        <f t="shared" si="14"/>
        <v>645493528</v>
      </c>
      <c r="Q18" s="99">
        <f t="shared" si="15"/>
        <v>502574536.38</v>
      </c>
      <c r="R18" s="102">
        <f t="shared" si="16"/>
        <v>5102.46</v>
      </c>
      <c r="S18" s="58">
        <f t="shared" si="17"/>
        <v>33516</v>
      </c>
      <c r="T18" s="103">
        <f>ROUND((1-0.55)*(0.666666*(0.5*(N18/R18)/(Dashboard!$C$31/AH18)+0.4*((P18/R18)/(Dashboard!$C$33/AH18))+0.1*((Q18/R18)/(Dashboard!$C$34/AH18)))+0.3333333*(0.5*(N18/S18)/(Dashboard!$C$31/AI18)+0.4*((P18/S18)/(Dashboard!$C$33/AI18))+0.1*((Q18/S18)/(Dashboard!$C$34/AI18)))),4)</f>
        <v>0.34970000000000001</v>
      </c>
      <c r="U18" s="103">
        <f t="shared" si="7"/>
        <v>0.35039999999999999</v>
      </c>
      <c r="V18" s="104">
        <f t="shared" si="8"/>
        <v>35971158.135544755</v>
      </c>
      <c r="W18" s="143">
        <f t="shared" si="9"/>
        <v>23392044.135544755</v>
      </c>
      <c r="X18" s="104">
        <f>Dashboard!$F$12*(1+$B$25)^(D18-1)</f>
        <v>12579114</v>
      </c>
      <c r="Y18" s="104">
        <f t="shared" si="10"/>
        <v>12604293.810694881</v>
      </c>
      <c r="Z18" s="99">
        <f t="shared" si="18"/>
        <v>25179.810694880784</v>
      </c>
      <c r="AA18" s="99">
        <f t="shared" si="19"/>
        <v>89238.799999999988</v>
      </c>
      <c r="AB18" s="99">
        <f t="shared" si="20"/>
        <v>64058.989305119205</v>
      </c>
      <c r="AE18" s="106">
        <f>Dashboard!$C$31*(1+$B$13)^(1-D18)+H18</f>
        <v>1170101827098.9373</v>
      </c>
      <c r="AF18" s="107">
        <f t="shared" si="21"/>
        <v>271432497952.66599</v>
      </c>
      <c r="AG18" s="107">
        <f t="shared" si="22"/>
        <v>100207273998.17998</v>
      </c>
      <c r="AH18" s="107">
        <f t="shared" si="23"/>
        <v>1239781.2999999996</v>
      </c>
      <c r="AI18" s="64">
        <f t="shared" si="11"/>
        <v>8382993</v>
      </c>
    </row>
    <row r="19" spans="1:35" x14ac:dyDescent="0.3">
      <c r="A19" s="55" t="s">
        <v>0</v>
      </c>
      <c r="B19" s="79">
        <v>0</v>
      </c>
      <c r="D19" s="74">
        <v>18</v>
      </c>
      <c r="E19" s="99">
        <f t="shared" si="0"/>
        <v>19999999.999999996</v>
      </c>
      <c r="F19" s="99">
        <f t="shared" si="1"/>
        <v>19999999.999999996</v>
      </c>
      <c r="G19" s="100">
        <v>0.43669999999999998</v>
      </c>
      <c r="H19" s="75">
        <f t="shared" si="2"/>
        <v>8733999.9999999981</v>
      </c>
      <c r="I19" s="75">
        <f t="shared" si="12"/>
        <v>5670000</v>
      </c>
      <c r="J19" s="75">
        <f t="shared" si="3"/>
        <v>14403999.999999998</v>
      </c>
      <c r="K19" s="101">
        <f t="shared" si="4"/>
        <v>0.57999999999999996</v>
      </c>
      <c r="L19" s="75">
        <f t="shared" si="5"/>
        <v>83543.199999999983</v>
      </c>
      <c r="N19" s="99">
        <f t="shared" si="13"/>
        <v>4012143667.4039736</v>
      </c>
      <c r="O19" s="99">
        <f t="shared" si="6"/>
        <v>4026547667.4039736</v>
      </c>
      <c r="P19" s="99">
        <f t="shared" si="14"/>
        <v>645493528</v>
      </c>
      <c r="Q19" s="99">
        <f t="shared" si="15"/>
        <v>502574536.38</v>
      </c>
      <c r="R19" s="102">
        <f t="shared" si="16"/>
        <v>5102.46</v>
      </c>
      <c r="S19" s="58">
        <f t="shared" si="17"/>
        <v>33516</v>
      </c>
      <c r="T19" s="103">
        <f>ROUND((1-0.55)*(0.666666*(0.5*(N19/R19)/(Dashboard!$C$31/AH19)+0.4*((P19/R19)/(Dashboard!$C$33/AH19))+0.1*((Q19/R19)/(Dashboard!$C$34/AH19)))+0.3333333*(0.5*(N19/S19)/(Dashboard!$C$31/AI19)+0.4*((P19/S19)/(Dashboard!$C$33/AI19))+0.1*((Q19/S19)/(Dashboard!$C$34/AI19)))),4)</f>
        <v>0.34970000000000001</v>
      </c>
      <c r="U19" s="103">
        <f t="shared" si="7"/>
        <v>0.3503</v>
      </c>
      <c r="V19" s="104">
        <f t="shared" si="8"/>
        <v>35971158.135544755</v>
      </c>
      <c r="W19" s="143">
        <f t="shared" si="9"/>
        <v>23392044.135544755</v>
      </c>
      <c r="X19" s="104">
        <f>Dashboard!$F$12*(1+$B$25)^(D19-1)</f>
        <v>12579114</v>
      </c>
      <c r="Y19" s="104">
        <f t="shared" si="10"/>
        <v>12600696.694881327</v>
      </c>
      <c r="Z19" s="99">
        <f t="shared" si="18"/>
        <v>21582.69488132745</v>
      </c>
      <c r="AA19" s="99">
        <f t="shared" si="19"/>
        <v>83543.199999999983</v>
      </c>
      <c r="AB19" s="99">
        <f t="shared" si="20"/>
        <v>61960.505118672532</v>
      </c>
      <c r="AE19" s="106">
        <f>Dashboard!$C$31*(1+$B$13)^(1-D19)+H19</f>
        <v>1170100845098.9373</v>
      </c>
      <c r="AF19" s="107">
        <f t="shared" si="21"/>
        <v>271432497952.66599</v>
      </c>
      <c r="AG19" s="107">
        <f t="shared" si="22"/>
        <v>100207273998.17998</v>
      </c>
      <c r="AH19" s="107">
        <f t="shared" si="23"/>
        <v>1239781.2999999996</v>
      </c>
      <c r="AI19" s="64">
        <f t="shared" si="11"/>
        <v>8382993</v>
      </c>
    </row>
    <row r="20" spans="1:35" x14ac:dyDescent="0.3">
      <c r="A20" s="55" t="s">
        <v>1</v>
      </c>
      <c r="B20" s="79">
        <v>0</v>
      </c>
      <c r="D20" s="74">
        <v>19</v>
      </c>
      <c r="E20" s="99">
        <f t="shared" si="0"/>
        <v>19999999.999999996</v>
      </c>
      <c r="F20" s="99">
        <f t="shared" si="1"/>
        <v>19999999.999999996</v>
      </c>
      <c r="G20" s="100">
        <v>0.38469999999999999</v>
      </c>
      <c r="H20" s="75">
        <f t="shared" si="2"/>
        <v>7693999.9999999981</v>
      </c>
      <c r="I20" s="75">
        <f t="shared" si="12"/>
        <v>5670000</v>
      </c>
      <c r="J20" s="75">
        <f t="shared" si="3"/>
        <v>13363999.999999998</v>
      </c>
      <c r="K20" s="101">
        <f t="shared" si="4"/>
        <v>0.57999999999999996</v>
      </c>
      <c r="L20" s="75">
        <f t="shared" si="5"/>
        <v>77511.199999999983</v>
      </c>
      <c r="N20" s="99">
        <f t="shared" si="13"/>
        <v>4012143667.4039736</v>
      </c>
      <c r="O20" s="99">
        <f t="shared" si="6"/>
        <v>4025507667.4039736</v>
      </c>
      <c r="P20" s="99">
        <f t="shared" si="14"/>
        <v>645493528</v>
      </c>
      <c r="Q20" s="99">
        <f t="shared" si="15"/>
        <v>502574536.38</v>
      </c>
      <c r="R20" s="102">
        <f t="shared" si="16"/>
        <v>5102.46</v>
      </c>
      <c r="S20" s="58">
        <f t="shared" si="17"/>
        <v>33516</v>
      </c>
      <c r="T20" s="103">
        <f>ROUND((1-0.55)*(0.666666*(0.5*(N20/R20)/(Dashboard!$C$31/AH20)+0.4*((P20/R20)/(Dashboard!$C$33/AH20))+0.1*((Q20/R20)/(Dashboard!$C$34/AH20)))+0.3333333*(0.5*(N20/S20)/(Dashboard!$C$31/AI20)+0.4*((P20/S20)/(Dashboard!$C$33/AI20))+0.1*((Q20/S20)/(Dashboard!$C$34/AI20)))),4)</f>
        <v>0.34970000000000001</v>
      </c>
      <c r="U20" s="103">
        <f t="shared" si="7"/>
        <v>0.3503</v>
      </c>
      <c r="V20" s="104">
        <f t="shared" si="8"/>
        <v>35971158.135544755</v>
      </c>
      <c r="W20" s="143">
        <f t="shared" si="9"/>
        <v>23392044.135544755</v>
      </c>
      <c r="X20" s="104">
        <f>Dashboard!$F$12*(1+$B$25)^(D20-1)</f>
        <v>12579114</v>
      </c>
      <c r="Y20" s="104">
        <f t="shared" si="10"/>
        <v>12600696.694881327</v>
      </c>
      <c r="Z20" s="99">
        <f t="shared" si="18"/>
        <v>21582.69488132745</v>
      </c>
      <c r="AA20" s="99">
        <f t="shared" si="19"/>
        <v>77511.199999999983</v>
      </c>
      <c r="AB20" s="99">
        <f t="shared" si="20"/>
        <v>55928.505118672532</v>
      </c>
      <c r="AE20" s="106">
        <f>Dashboard!$C$31*(1+$B$13)^(1-D20)+H20</f>
        <v>1170099805098.9373</v>
      </c>
      <c r="AF20" s="107">
        <f t="shared" si="21"/>
        <v>271432497952.66599</v>
      </c>
      <c r="AG20" s="107">
        <f t="shared" si="22"/>
        <v>100207273998.17998</v>
      </c>
      <c r="AH20" s="107">
        <f t="shared" si="23"/>
        <v>1239781.2999999996</v>
      </c>
      <c r="AI20" s="64">
        <f t="shared" si="11"/>
        <v>8382993</v>
      </c>
    </row>
    <row r="21" spans="1:35" x14ac:dyDescent="0.3">
      <c r="A21" s="55" t="s">
        <v>2</v>
      </c>
      <c r="B21" s="79">
        <v>0</v>
      </c>
      <c r="D21" s="74">
        <v>20</v>
      </c>
      <c r="E21" s="99">
        <f t="shared" si="0"/>
        <v>19999999.999999996</v>
      </c>
      <c r="F21" s="99">
        <f t="shared" si="1"/>
        <v>19999999.999999996</v>
      </c>
      <c r="G21" s="100">
        <v>0.32950000000000002</v>
      </c>
      <c r="H21" s="75">
        <f t="shared" si="2"/>
        <v>6589999.9999999991</v>
      </c>
      <c r="I21" s="75">
        <f t="shared" si="12"/>
        <v>5670000</v>
      </c>
      <c r="J21" s="75">
        <f t="shared" si="3"/>
        <v>12260000</v>
      </c>
      <c r="K21" s="101">
        <f t="shared" si="4"/>
        <v>0.57999999999999996</v>
      </c>
      <c r="L21" s="75">
        <f t="shared" si="5"/>
        <v>71107.999999999985</v>
      </c>
      <c r="N21" s="99">
        <f t="shared" si="13"/>
        <v>4012143667.4039736</v>
      </c>
      <c r="O21" s="99">
        <f t="shared" si="6"/>
        <v>4024403667.4039736</v>
      </c>
      <c r="P21" s="99">
        <f t="shared" si="14"/>
        <v>645493528</v>
      </c>
      <c r="Q21" s="99">
        <f t="shared" si="15"/>
        <v>502574536.38</v>
      </c>
      <c r="R21" s="102">
        <f t="shared" si="16"/>
        <v>5102.46</v>
      </c>
      <c r="S21" s="58">
        <f t="shared" si="17"/>
        <v>33516</v>
      </c>
      <c r="T21" s="103">
        <f>ROUND((1-0.55)*(0.666666*(0.5*(N21/R21)/(Dashboard!$C$31/AH21)+0.4*((P21/R21)/(Dashboard!$C$33/AH21))+0.1*((Q21/R21)/(Dashboard!$C$34/AH21)))+0.3333333*(0.5*(N21/S21)/(Dashboard!$C$31/AI21)+0.4*((P21/S21)/(Dashboard!$C$33/AI21))+0.1*((Q21/S21)/(Dashboard!$C$34/AI21)))),4)</f>
        <v>0.34970000000000001</v>
      </c>
      <c r="U21" s="103">
        <f t="shared" si="7"/>
        <v>0.35020000000000001</v>
      </c>
      <c r="V21" s="104">
        <f t="shared" si="8"/>
        <v>35971158.135544755</v>
      </c>
      <c r="W21" s="143">
        <f t="shared" si="9"/>
        <v>23392044.135544755</v>
      </c>
      <c r="X21" s="104">
        <f>Dashboard!$F$12*(1+$B$25)^(D21-1)</f>
        <v>12579114</v>
      </c>
      <c r="Y21" s="104">
        <f t="shared" si="10"/>
        <v>12597099.579067774</v>
      </c>
      <c r="Z21" s="99">
        <f t="shared" si="18"/>
        <v>17985.579067774117</v>
      </c>
      <c r="AA21" s="99">
        <f t="shared" si="19"/>
        <v>71107.999999999985</v>
      </c>
      <c r="AB21" s="99">
        <f t="shared" si="20"/>
        <v>53122.420932225868</v>
      </c>
      <c r="AE21" s="106">
        <f>Dashboard!$C$31*(1+$B$13)^(1-D21)+H21</f>
        <v>1170098701098.9373</v>
      </c>
      <c r="AF21" s="107">
        <f t="shared" si="21"/>
        <v>271432497952.66599</v>
      </c>
      <c r="AG21" s="107">
        <f t="shared" si="22"/>
        <v>100207273998.17998</v>
      </c>
      <c r="AH21" s="107">
        <f t="shared" si="23"/>
        <v>1239781.2999999996</v>
      </c>
      <c r="AI21" s="64">
        <f t="shared" si="11"/>
        <v>8382993</v>
      </c>
    </row>
    <row r="22" spans="1:35" x14ac:dyDescent="0.3">
      <c r="A22" s="55" t="s">
        <v>3</v>
      </c>
      <c r="B22" s="79">
        <v>0</v>
      </c>
      <c r="D22" s="74">
        <v>21</v>
      </c>
      <c r="E22" s="99">
        <f t="shared" si="0"/>
        <v>19999999.999999996</v>
      </c>
      <c r="F22" s="99">
        <f t="shared" si="1"/>
        <v>19999999.999999996</v>
      </c>
      <c r="G22" s="100">
        <v>0.27110000000000001</v>
      </c>
      <c r="H22" s="75">
        <f t="shared" si="2"/>
        <v>5421999.9999999991</v>
      </c>
      <c r="I22" s="75">
        <f t="shared" si="12"/>
        <v>5670000</v>
      </c>
      <c r="J22" s="75">
        <f t="shared" si="3"/>
        <v>11092000</v>
      </c>
      <c r="K22" s="101">
        <f t="shared" si="4"/>
        <v>0.57999999999999996</v>
      </c>
      <c r="L22" s="75">
        <f t="shared" si="5"/>
        <v>64333.599999999999</v>
      </c>
      <c r="N22" s="99">
        <f t="shared" si="13"/>
        <v>4012143667.4039736</v>
      </c>
      <c r="O22" s="99">
        <f t="shared" si="6"/>
        <v>4023235667.4039736</v>
      </c>
      <c r="P22" s="99">
        <f t="shared" si="14"/>
        <v>645493528</v>
      </c>
      <c r="Q22" s="99">
        <f t="shared" si="15"/>
        <v>502574536.38</v>
      </c>
      <c r="R22" s="102">
        <f t="shared" si="16"/>
        <v>5102.46</v>
      </c>
      <c r="S22" s="58">
        <f t="shared" si="17"/>
        <v>33516</v>
      </c>
      <c r="T22" s="103">
        <f>ROUND((1-0.55)*(0.666666*(0.5*(N22/R22)/(Dashboard!$C$31/AH22)+0.4*((P22/R22)/(Dashboard!$C$33/AH22))+0.1*((Q22/R22)/(Dashboard!$C$34/AH22)))+0.3333333*(0.5*(N22/S22)/(Dashboard!$C$31/AI22)+0.4*((P22/S22)/(Dashboard!$C$33/AI22))+0.1*((Q22/S22)/(Dashboard!$C$34/AI22)))),4)</f>
        <v>0.34970000000000001</v>
      </c>
      <c r="U22" s="103">
        <f t="shared" si="7"/>
        <v>0.35020000000000001</v>
      </c>
      <c r="V22" s="104">
        <f t="shared" si="8"/>
        <v>35971158.135544755</v>
      </c>
      <c r="W22" s="143">
        <f t="shared" si="9"/>
        <v>23392044.135544755</v>
      </c>
      <c r="X22" s="104">
        <f>Dashboard!$F$12*(1+$B$25)^(D22-1)</f>
        <v>12579114</v>
      </c>
      <c r="Y22" s="104">
        <f t="shared" si="10"/>
        <v>12597099.579067774</v>
      </c>
      <c r="Z22" s="99">
        <f t="shared" si="18"/>
        <v>17985.579067774117</v>
      </c>
      <c r="AA22" s="99">
        <f t="shared" si="19"/>
        <v>64333.599999999999</v>
      </c>
      <c r="AB22" s="99">
        <f t="shared" si="20"/>
        <v>46348.020932225882</v>
      </c>
      <c r="AE22" s="106">
        <f>Dashboard!$C$31*(1+$B$13)^(1-D22)+H22</f>
        <v>1170097533098.9373</v>
      </c>
      <c r="AF22" s="107">
        <f t="shared" si="21"/>
        <v>271432497952.66599</v>
      </c>
      <c r="AG22" s="107">
        <f t="shared" si="22"/>
        <v>100207273998.17998</v>
      </c>
      <c r="AH22" s="107">
        <f t="shared" si="23"/>
        <v>1239781.2999999996</v>
      </c>
      <c r="AI22" s="64">
        <f t="shared" si="11"/>
        <v>8382993</v>
      </c>
    </row>
    <row r="23" spans="1:35" x14ac:dyDescent="0.3">
      <c r="A23" s="55" t="s">
        <v>4</v>
      </c>
      <c r="B23" s="79">
        <v>0</v>
      </c>
      <c r="D23" s="74">
        <v>22</v>
      </c>
      <c r="E23" s="99">
        <f t="shared" si="0"/>
        <v>19999999.999999996</v>
      </c>
      <c r="F23" s="99">
        <f t="shared" si="1"/>
        <v>19999999.999999996</v>
      </c>
      <c r="G23" s="100">
        <v>0.20910000000000001</v>
      </c>
      <c r="H23" s="75">
        <f t="shared" si="2"/>
        <v>4181999.9999999995</v>
      </c>
      <c r="I23" s="75">
        <f t="shared" si="12"/>
        <v>5670000</v>
      </c>
      <c r="J23" s="75">
        <f t="shared" si="3"/>
        <v>9852000</v>
      </c>
      <c r="K23" s="101">
        <f t="shared" si="4"/>
        <v>0.57999999999999996</v>
      </c>
      <c r="L23" s="75">
        <f t="shared" si="5"/>
        <v>57141.599999999999</v>
      </c>
      <c r="N23" s="99">
        <f t="shared" si="13"/>
        <v>4012143667.4039736</v>
      </c>
      <c r="O23" s="99">
        <f t="shared" si="6"/>
        <v>4021995667.4039736</v>
      </c>
      <c r="P23" s="99">
        <f t="shared" si="14"/>
        <v>645493528</v>
      </c>
      <c r="Q23" s="99">
        <f t="shared" si="15"/>
        <v>502574536.38</v>
      </c>
      <c r="R23" s="102">
        <f t="shared" si="16"/>
        <v>5102.46</v>
      </c>
      <c r="S23" s="58">
        <f t="shared" si="17"/>
        <v>33516</v>
      </c>
      <c r="T23" s="103">
        <f>ROUND((1-0.55)*(0.666666*(0.5*(N23/R23)/(Dashboard!$C$31/AH23)+0.4*((P23/R23)/(Dashboard!$C$33/AH23))+0.1*((Q23/R23)/(Dashboard!$C$34/AH23)))+0.3333333*(0.5*(N23/S23)/(Dashboard!$C$31/AI23)+0.4*((P23/S23)/(Dashboard!$C$33/AI23))+0.1*((Q23/S23)/(Dashboard!$C$34/AI23)))),4)</f>
        <v>0.34970000000000001</v>
      </c>
      <c r="U23" s="103">
        <f t="shared" si="7"/>
        <v>0.35010000000000002</v>
      </c>
      <c r="V23" s="104">
        <f t="shared" si="8"/>
        <v>35971158.135544755</v>
      </c>
      <c r="W23" s="143">
        <f t="shared" si="9"/>
        <v>23392044.135544755</v>
      </c>
      <c r="X23" s="104">
        <f>Dashboard!$F$12*(1+$B$25)^(D23-1)</f>
        <v>12579114</v>
      </c>
      <c r="Y23" s="104">
        <f t="shared" si="10"/>
        <v>12593502.463254219</v>
      </c>
      <c r="Z23" s="99">
        <f t="shared" si="18"/>
        <v>14388.463254218921</v>
      </c>
      <c r="AA23" s="99">
        <f t="shared" si="19"/>
        <v>57141.599999999999</v>
      </c>
      <c r="AB23" s="99">
        <f t="shared" si="20"/>
        <v>42753.136745781077</v>
      </c>
      <c r="AE23" s="106">
        <f>Dashboard!$C$31*(1+$B$13)^(1-D23)+H23</f>
        <v>1170096293098.9373</v>
      </c>
      <c r="AF23" s="107">
        <f t="shared" si="21"/>
        <v>271432497952.66599</v>
      </c>
      <c r="AG23" s="107">
        <f t="shared" si="22"/>
        <v>100207273998.17998</v>
      </c>
      <c r="AH23" s="107">
        <f t="shared" si="23"/>
        <v>1239781.2999999996</v>
      </c>
      <c r="AI23" s="64">
        <f t="shared" si="11"/>
        <v>8382993</v>
      </c>
    </row>
    <row r="24" spans="1:35" x14ac:dyDescent="0.3">
      <c r="A24" s="55" t="s">
        <v>370</v>
      </c>
      <c r="B24" s="79">
        <v>0</v>
      </c>
      <c r="D24" s="74">
        <v>23</v>
      </c>
      <c r="E24" s="99">
        <f t="shared" si="0"/>
        <v>19999999.999999996</v>
      </c>
      <c r="F24" s="99">
        <f t="shared" si="1"/>
        <v>19999999.999999996</v>
      </c>
      <c r="G24" s="100">
        <v>0.1434</v>
      </c>
      <c r="H24" s="75">
        <f t="shared" si="2"/>
        <v>2867999.9999999995</v>
      </c>
      <c r="I24" s="75">
        <f t="shared" si="12"/>
        <v>5670000</v>
      </c>
      <c r="J24" s="75">
        <f t="shared" si="3"/>
        <v>8538000</v>
      </c>
      <c r="K24" s="101">
        <f t="shared" si="4"/>
        <v>0.57999999999999996</v>
      </c>
      <c r="L24" s="75">
        <f t="shared" si="5"/>
        <v>49520.4</v>
      </c>
      <c r="N24" s="99">
        <f t="shared" si="13"/>
        <v>4012143667.4039736</v>
      </c>
      <c r="O24" s="99">
        <f t="shared" si="6"/>
        <v>4020681667.4039736</v>
      </c>
      <c r="P24" s="99">
        <f t="shared" si="14"/>
        <v>645493528</v>
      </c>
      <c r="Q24" s="99">
        <f t="shared" si="15"/>
        <v>502574536.38</v>
      </c>
      <c r="R24" s="102">
        <f t="shared" si="16"/>
        <v>5102.46</v>
      </c>
      <c r="S24" s="58">
        <f t="shared" si="17"/>
        <v>33516</v>
      </c>
      <c r="T24" s="103">
        <f>ROUND((1-0.55)*(0.666666*(0.5*(N24/R24)/(Dashboard!$C$31/AH24)+0.4*((P24/R24)/(Dashboard!$C$33/AH24))+0.1*((Q24/R24)/(Dashboard!$C$34/AH24)))+0.3333333*(0.5*(N24/S24)/(Dashboard!$C$31/AI24)+0.4*((P24/S24)/(Dashboard!$C$33/AI24))+0.1*((Q24/S24)/(Dashboard!$C$34/AI24)))),4)</f>
        <v>0.34970000000000001</v>
      </c>
      <c r="U24" s="103">
        <f t="shared" si="7"/>
        <v>0.35</v>
      </c>
      <c r="V24" s="104">
        <f t="shared" si="8"/>
        <v>35971158.135544755</v>
      </c>
      <c r="W24" s="143">
        <f t="shared" si="9"/>
        <v>23392044.135544755</v>
      </c>
      <c r="X24" s="104">
        <f>Dashboard!$F$12*(1+$B$25)^(D24-1)</f>
        <v>12579114</v>
      </c>
      <c r="Y24" s="104">
        <f t="shared" si="10"/>
        <v>12589905.347440664</v>
      </c>
      <c r="Z24" s="99">
        <f t="shared" si="18"/>
        <v>10791.347440663725</v>
      </c>
      <c r="AA24" s="99">
        <f t="shared" si="19"/>
        <v>49520.4</v>
      </c>
      <c r="AB24" s="99">
        <f t="shared" si="20"/>
        <v>38729.052559336276</v>
      </c>
      <c r="AE24" s="106">
        <f>Dashboard!$C$31*(1+$B$13)^(1-D24)+H24</f>
        <v>1170094979098.9373</v>
      </c>
      <c r="AF24" s="107">
        <f t="shared" si="21"/>
        <v>271432497952.66599</v>
      </c>
      <c r="AG24" s="107">
        <f t="shared" si="22"/>
        <v>100207273998.17998</v>
      </c>
      <c r="AH24" s="107">
        <f t="shared" si="23"/>
        <v>1239781.2999999996</v>
      </c>
      <c r="AI24" s="64">
        <f t="shared" si="11"/>
        <v>8382993</v>
      </c>
    </row>
    <row r="25" spans="1:35" ht="15" thickBot="1" x14ac:dyDescent="0.35">
      <c r="A25" s="59" t="s">
        <v>377</v>
      </c>
      <c r="B25" s="116">
        <v>0</v>
      </c>
      <c r="D25" s="74">
        <v>24</v>
      </c>
      <c r="E25" s="99">
        <f t="shared" si="0"/>
        <v>19999999.999999996</v>
      </c>
      <c r="F25" s="99">
        <f t="shared" si="1"/>
        <v>19999999.999999996</v>
      </c>
      <c r="G25" s="100">
        <v>0.1</v>
      </c>
      <c r="H25" s="75">
        <f t="shared" si="2"/>
        <v>1999999.9999999998</v>
      </c>
      <c r="I25" s="75">
        <f t="shared" si="12"/>
        <v>5670000</v>
      </c>
      <c r="J25" s="75">
        <f t="shared" si="3"/>
        <v>7670000</v>
      </c>
      <c r="K25" s="101">
        <f t="shared" si="4"/>
        <v>0.57999999999999996</v>
      </c>
      <c r="L25" s="75">
        <f t="shared" si="5"/>
        <v>44486</v>
      </c>
      <c r="N25" s="99">
        <f t="shared" si="13"/>
        <v>4012143667.4039736</v>
      </c>
      <c r="O25" s="99">
        <f t="shared" si="6"/>
        <v>4019813667.4039736</v>
      </c>
      <c r="P25" s="99">
        <f t="shared" si="14"/>
        <v>645493528</v>
      </c>
      <c r="Q25" s="99">
        <f t="shared" si="15"/>
        <v>502574536.38</v>
      </c>
      <c r="R25" s="102">
        <f t="shared" si="16"/>
        <v>5102.46</v>
      </c>
      <c r="S25" s="58">
        <f t="shared" si="17"/>
        <v>33516</v>
      </c>
      <c r="T25" s="103">
        <f>ROUND((1-0.55)*(0.666666*(0.5*(N25/R25)/(Dashboard!$C$31/AH25)+0.4*((P25/R25)/(Dashboard!$C$33/AH25))+0.1*((Q25/R25)/(Dashboard!$C$34/AH25)))+0.3333333*(0.5*(N25/S25)/(Dashboard!$C$31/AI25)+0.4*((P25/S25)/(Dashboard!$C$33/AI25))+0.1*((Q25/S25)/(Dashboard!$C$34/AI25)))),4)</f>
        <v>0.34970000000000001</v>
      </c>
      <c r="U25" s="103">
        <f t="shared" si="7"/>
        <v>0.35</v>
      </c>
      <c r="V25" s="104">
        <f t="shared" si="8"/>
        <v>35971158.135544755</v>
      </c>
      <c r="W25" s="143">
        <f t="shared" si="9"/>
        <v>23392044.135544755</v>
      </c>
      <c r="X25" s="104">
        <f>Dashboard!$F$12*(1+$B$25)^(D25-1)</f>
        <v>12579114</v>
      </c>
      <c r="Y25" s="104">
        <f t="shared" si="10"/>
        <v>12589905.347440664</v>
      </c>
      <c r="Z25" s="99">
        <f t="shared" si="18"/>
        <v>10791.347440663725</v>
      </c>
      <c r="AA25" s="99">
        <f t="shared" si="19"/>
        <v>44486</v>
      </c>
      <c r="AB25" s="99">
        <f t="shared" si="20"/>
        <v>33694.652559336275</v>
      </c>
      <c r="AE25" s="106">
        <f>Dashboard!$C$31*(1+$B$13)^(1-D25)+H25</f>
        <v>1170094111098.9373</v>
      </c>
      <c r="AF25" s="107">
        <f t="shared" si="21"/>
        <v>271432497952.66599</v>
      </c>
      <c r="AG25" s="107">
        <f t="shared" si="22"/>
        <v>100207273998.17998</v>
      </c>
      <c r="AH25" s="107">
        <f t="shared" si="23"/>
        <v>1239781.2999999996</v>
      </c>
      <c r="AI25" s="64">
        <f t="shared" si="11"/>
        <v>8382993</v>
      </c>
    </row>
    <row r="26" spans="1:35" x14ac:dyDescent="0.3">
      <c r="D26" s="74">
        <v>25</v>
      </c>
      <c r="E26" s="99">
        <f t="shared" si="0"/>
        <v>19999999.999999996</v>
      </c>
      <c r="F26" s="99">
        <f t="shared" si="1"/>
        <v>19999999.999999996</v>
      </c>
      <c r="G26" s="100">
        <v>0.1</v>
      </c>
      <c r="H26" s="75">
        <f t="shared" si="2"/>
        <v>1999999.9999999998</v>
      </c>
      <c r="I26" s="75">
        <f t="shared" si="12"/>
        <v>5670000</v>
      </c>
      <c r="J26" s="75">
        <f t="shared" si="3"/>
        <v>7670000</v>
      </c>
      <c r="K26" s="101">
        <f t="shared" si="4"/>
        <v>0.57999999999999996</v>
      </c>
      <c r="L26" s="75">
        <f t="shared" si="5"/>
        <v>44486</v>
      </c>
      <c r="N26" s="99">
        <f t="shared" si="13"/>
        <v>4012143667.4039736</v>
      </c>
      <c r="O26" s="99">
        <f t="shared" si="6"/>
        <v>4019813667.4039736</v>
      </c>
      <c r="P26" s="99">
        <f t="shared" si="14"/>
        <v>645493528</v>
      </c>
      <c r="Q26" s="99">
        <f t="shared" si="15"/>
        <v>502574536.38</v>
      </c>
      <c r="R26" s="102">
        <f t="shared" si="16"/>
        <v>5102.46</v>
      </c>
      <c r="S26" s="58">
        <f t="shared" si="17"/>
        <v>33516</v>
      </c>
      <c r="T26" s="103">
        <f>ROUND((1-0.55)*(0.666666*(0.5*(N26/R26)/(Dashboard!$C$31/AH26)+0.4*((P26/R26)/(Dashboard!$C$33/AH26))+0.1*((Q26/R26)/(Dashboard!$C$34/AH26)))+0.3333333*(0.5*(N26/S26)/(Dashboard!$C$31/AI26)+0.4*((P26/S26)/(Dashboard!$C$33/AI26))+0.1*((Q26/S26)/(Dashboard!$C$34/AI26)))),4)</f>
        <v>0.34970000000000001</v>
      </c>
      <c r="U26" s="103">
        <f t="shared" si="7"/>
        <v>0.35</v>
      </c>
      <c r="V26" s="104">
        <f t="shared" si="8"/>
        <v>35971158.135544755</v>
      </c>
      <c r="W26" s="143">
        <f t="shared" si="9"/>
        <v>23392044.135544755</v>
      </c>
      <c r="X26" s="104">
        <f>Dashboard!$F$12*(1+$B$25)^(D26-1)</f>
        <v>12579114</v>
      </c>
      <c r="Y26" s="104">
        <f t="shared" si="10"/>
        <v>12589905.347440664</v>
      </c>
      <c r="Z26" s="99">
        <f t="shared" si="18"/>
        <v>10791.347440663725</v>
      </c>
      <c r="AA26" s="99">
        <f t="shared" si="19"/>
        <v>44486</v>
      </c>
      <c r="AB26" s="99">
        <f t="shared" si="20"/>
        <v>33694.652559336275</v>
      </c>
      <c r="AE26" s="106">
        <f>Dashboard!$C$31*(1+$B$13)^(1-D26)+H26</f>
        <v>1170094111098.9373</v>
      </c>
      <c r="AF26" s="107">
        <f t="shared" si="21"/>
        <v>271432497952.66599</v>
      </c>
      <c r="AG26" s="107">
        <f t="shared" si="22"/>
        <v>100207273998.17998</v>
      </c>
      <c r="AH26" s="107">
        <f t="shared" si="23"/>
        <v>1239781.2999999996</v>
      </c>
      <c r="AI26" s="64">
        <f t="shared" si="11"/>
        <v>8382993</v>
      </c>
    </row>
    <row r="27" spans="1:35" x14ac:dyDescent="0.3">
      <c r="B27" s="118"/>
      <c r="D27" s="74">
        <v>26</v>
      </c>
      <c r="E27" s="99">
        <f t="shared" si="0"/>
        <v>19999999.999999996</v>
      </c>
      <c r="F27" s="99">
        <f t="shared" si="1"/>
        <v>19999999.999999996</v>
      </c>
      <c r="G27" s="100">
        <v>0.1</v>
      </c>
      <c r="H27" s="75">
        <f t="shared" si="2"/>
        <v>1999999.9999999998</v>
      </c>
      <c r="I27" s="75">
        <f t="shared" si="12"/>
        <v>5670000</v>
      </c>
      <c r="J27" s="75">
        <f t="shared" si="3"/>
        <v>7670000</v>
      </c>
      <c r="K27" s="101">
        <f t="shared" si="4"/>
        <v>0.57999999999999996</v>
      </c>
      <c r="L27" s="75">
        <f t="shared" si="5"/>
        <v>44486</v>
      </c>
      <c r="N27" s="99">
        <f t="shared" si="13"/>
        <v>4012143667.4039736</v>
      </c>
      <c r="O27" s="99">
        <f t="shared" si="6"/>
        <v>4019813667.4039736</v>
      </c>
      <c r="P27" s="99">
        <f t="shared" si="14"/>
        <v>645493528</v>
      </c>
      <c r="Q27" s="99">
        <f t="shared" si="15"/>
        <v>502574536.38</v>
      </c>
      <c r="R27" s="102">
        <f t="shared" si="16"/>
        <v>5102.46</v>
      </c>
      <c r="S27" s="58">
        <f t="shared" si="17"/>
        <v>33516</v>
      </c>
      <c r="T27" s="103">
        <f>ROUND((1-0.55)*(0.666666*(0.5*(N27/R27)/(Dashboard!$C$31/AH27)+0.4*((P27/R27)/(Dashboard!$C$33/AH27))+0.1*((Q27/R27)/(Dashboard!$C$34/AH27)))+0.3333333*(0.5*(N27/S27)/(Dashboard!$C$31/AI27)+0.4*((P27/S27)/(Dashboard!$C$33/AI27))+0.1*((Q27/S27)/(Dashboard!$C$34/AI27)))),4)</f>
        <v>0.34970000000000001</v>
      </c>
      <c r="U27" s="103">
        <f t="shared" si="7"/>
        <v>0.35</v>
      </c>
      <c r="V27" s="104">
        <f t="shared" si="8"/>
        <v>35971158.135544755</v>
      </c>
      <c r="W27" s="143">
        <f t="shared" si="9"/>
        <v>23392044.135544755</v>
      </c>
      <c r="X27" s="104">
        <f>Dashboard!$F$12*(1+$B$25)^(D27-1)</f>
        <v>12579114</v>
      </c>
      <c r="Y27" s="104">
        <f t="shared" ref="Y27:Y36" si="24">V27*U27</f>
        <v>12589905.347440664</v>
      </c>
      <c r="Z27" s="99">
        <f t="shared" ref="Z27:Z36" si="25">Y27-X27</f>
        <v>10791.347440663725</v>
      </c>
      <c r="AA27" s="99">
        <f t="shared" ref="AA27:AA36" si="26">L27</f>
        <v>44486</v>
      </c>
      <c r="AB27" s="99">
        <f t="shared" ref="AB27:AB36" si="27">AA27-Z27</f>
        <v>33694.652559336275</v>
      </c>
      <c r="AE27" s="106">
        <f>Dashboard!$C$31*(1+$B$13)^(1-D27)+H27</f>
        <v>1170094111098.9373</v>
      </c>
      <c r="AF27" s="107">
        <f t="shared" si="21"/>
        <v>271432497952.66599</v>
      </c>
      <c r="AG27" s="107">
        <f t="shared" si="22"/>
        <v>100207273998.17998</v>
      </c>
      <c r="AH27" s="107">
        <f t="shared" si="23"/>
        <v>1239781.2999999996</v>
      </c>
      <c r="AI27" s="64">
        <f t="shared" si="11"/>
        <v>8382993</v>
      </c>
    </row>
    <row r="28" spans="1:35" x14ac:dyDescent="0.3">
      <c r="B28" s="117">
        <f>Dashboard!I19</f>
        <v>2180003.741950321</v>
      </c>
      <c r="D28" s="74">
        <v>27</v>
      </c>
      <c r="E28" s="99">
        <f t="shared" si="0"/>
        <v>19999999.999999996</v>
      </c>
      <c r="F28" s="99">
        <f t="shared" si="1"/>
        <v>19999999.999999996</v>
      </c>
      <c r="G28" s="100">
        <v>0.1</v>
      </c>
      <c r="H28" s="75">
        <f t="shared" si="2"/>
        <v>1999999.9999999998</v>
      </c>
      <c r="I28" s="75">
        <f t="shared" si="12"/>
        <v>5670000</v>
      </c>
      <c r="J28" s="75">
        <f t="shared" si="3"/>
        <v>7670000</v>
      </c>
      <c r="K28" s="101">
        <f t="shared" si="4"/>
        <v>0.57999999999999996</v>
      </c>
      <c r="L28" s="75">
        <f t="shared" si="5"/>
        <v>44486</v>
      </c>
      <c r="N28" s="99">
        <f t="shared" si="13"/>
        <v>4012143667.4039736</v>
      </c>
      <c r="O28" s="99">
        <f t="shared" si="6"/>
        <v>4019813667.4039736</v>
      </c>
      <c r="P28" s="99">
        <f t="shared" si="14"/>
        <v>645493528</v>
      </c>
      <c r="Q28" s="99">
        <f t="shared" si="15"/>
        <v>502574536.38</v>
      </c>
      <c r="R28" s="102">
        <f t="shared" si="16"/>
        <v>5102.46</v>
      </c>
      <c r="S28" s="58">
        <f t="shared" si="17"/>
        <v>33516</v>
      </c>
      <c r="T28" s="103">
        <f>ROUND((1-0.55)*(0.666666*(0.5*(N28/R28)/(Dashboard!$C$31/AH28)+0.4*((P28/R28)/(Dashboard!$C$33/AH28))+0.1*((Q28/R28)/(Dashboard!$C$34/AH28)))+0.3333333*(0.5*(N28/S28)/(Dashboard!$C$31/AI28)+0.4*((P28/S28)/(Dashboard!$C$33/AI28))+0.1*((Q28/S28)/(Dashboard!$C$34/AI28)))),4)</f>
        <v>0.34970000000000001</v>
      </c>
      <c r="U28" s="103">
        <f t="shared" si="7"/>
        <v>0.35</v>
      </c>
      <c r="V28" s="104">
        <f t="shared" si="8"/>
        <v>35971158.135544755</v>
      </c>
      <c r="W28" s="143">
        <f t="shared" si="9"/>
        <v>23392044.135544755</v>
      </c>
      <c r="X28" s="104">
        <f>Dashboard!$F$12*(1+$B$25)^(D28-1)</f>
        <v>12579114</v>
      </c>
      <c r="Y28" s="104">
        <f t="shared" si="24"/>
        <v>12589905.347440664</v>
      </c>
      <c r="Z28" s="99">
        <f t="shared" si="25"/>
        <v>10791.347440663725</v>
      </c>
      <c r="AA28" s="99">
        <f t="shared" si="26"/>
        <v>44486</v>
      </c>
      <c r="AB28" s="99">
        <f t="shared" si="27"/>
        <v>33694.652559336275</v>
      </c>
      <c r="AE28" s="106">
        <f>Dashboard!$C$31*(1+$B$13)^(1-D28)+H28</f>
        <v>1170094111098.9373</v>
      </c>
      <c r="AF28" s="107">
        <f t="shared" si="21"/>
        <v>271432497952.66599</v>
      </c>
      <c r="AG28" s="107">
        <f t="shared" si="22"/>
        <v>100207273998.17998</v>
      </c>
      <c r="AH28" s="107">
        <f t="shared" si="23"/>
        <v>1239781.2999999996</v>
      </c>
      <c r="AI28" s="64">
        <f t="shared" si="11"/>
        <v>8382993</v>
      </c>
    </row>
    <row r="29" spans="1:35" x14ac:dyDescent="0.3">
      <c r="D29" s="74">
        <v>28</v>
      </c>
      <c r="E29" s="99">
        <f t="shared" si="0"/>
        <v>19999999.999999996</v>
      </c>
      <c r="F29" s="99">
        <f t="shared" si="1"/>
        <v>19999999.999999996</v>
      </c>
      <c r="G29" s="100">
        <v>0.1</v>
      </c>
      <c r="H29" s="75">
        <f t="shared" si="2"/>
        <v>1999999.9999999998</v>
      </c>
      <c r="I29" s="75">
        <f t="shared" si="12"/>
        <v>5670000</v>
      </c>
      <c r="J29" s="75">
        <f t="shared" si="3"/>
        <v>7670000</v>
      </c>
      <c r="K29" s="101">
        <f t="shared" si="4"/>
        <v>0.57999999999999996</v>
      </c>
      <c r="L29" s="75">
        <f t="shared" si="5"/>
        <v>44486</v>
      </c>
      <c r="N29" s="99">
        <f t="shared" si="13"/>
        <v>4012143667.4039736</v>
      </c>
      <c r="O29" s="99">
        <f t="shared" si="6"/>
        <v>4019813667.4039736</v>
      </c>
      <c r="P29" s="99">
        <f t="shared" si="14"/>
        <v>645493528</v>
      </c>
      <c r="Q29" s="99">
        <f t="shared" si="15"/>
        <v>502574536.38</v>
      </c>
      <c r="R29" s="102">
        <f t="shared" si="16"/>
        <v>5102.46</v>
      </c>
      <c r="S29" s="58">
        <f t="shared" si="17"/>
        <v>33516</v>
      </c>
      <c r="T29" s="103">
        <f>ROUND((1-0.55)*(0.666666*(0.5*(N29/R29)/(Dashboard!$C$31/AH29)+0.4*((P29/R29)/(Dashboard!$C$33/AH29))+0.1*((Q29/R29)/(Dashboard!$C$34/AH29)))+0.3333333*(0.5*(N29/S29)/(Dashboard!$C$31/AI29)+0.4*((P29/S29)/(Dashboard!$C$33/AI29))+0.1*((Q29/S29)/(Dashboard!$C$34/AI29)))),4)</f>
        <v>0.34970000000000001</v>
      </c>
      <c r="U29" s="103">
        <f t="shared" si="7"/>
        <v>0.35</v>
      </c>
      <c r="V29" s="104">
        <f t="shared" si="8"/>
        <v>35971158.135544755</v>
      </c>
      <c r="W29" s="143">
        <f t="shared" si="9"/>
        <v>23392044.135544755</v>
      </c>
      <c r="X29" s="104">
        <f>Dashboard!$F$12*(1+$B$25)^(D29-1)</f>
        <v>12579114</v>
      </c>
      <c r="Y29" s="104">
        <f t="shared" si="24"/>
        <v>12589905.347440664</v>
      </c>
      <c r="Z29" s="99">
        <f t="shared" si="25"/>
        <v>10791.347440663725</v>
      </c>
      <c r="AA29" s="99">
        <f t="shared" si="26"/>
        <v>44486</v>
      </c>
      <c r="AB29" s="99">
        <f t="shared" si="27"/>
        <v>33694.652559336275</v>
      </c>
      <c r="AE29" s="106">
        <f>Dashboard!$C$31*(1+$B$13)^(1-D29)+H29</f>
        <v>1170094111098.9373</v>
      </c>
      <c r="AF29" s="107">
        <f t="shared" si="21"/>
        <v>271432497952.66599</v>
      </c>
      <c r="AG29" s="107">
        <f t="shared" si="22"/>
        <v>100207273998.17998</v>
      </c>
      <c r="AH29" s="107">
        <f t="shared" si="23"/>
        <v>1239781.2999999996</v>
      </c>
      <c r="AI29" s="64">
        <f t="shared" si="11"/>
        <v>8382993</v>
      </c>
    </row>
    <row r="30" spans="1:35" x14ac:dyDescent="0.3">
      <c r="B30" s="118"/>
      <c r="D30" s="74">
        <v>29</v>
      </c>
      <c r="E30" s="99">
        <f t="shared" si="0"/>
        <v>19999999.999999996</v>
      </c>
      <c r="F30" s="99">
        <f t="shared" si="1"/>
        <v>19999999.999999996</v>
      </c>
      <c r="G30" s="100">
        <v>0.1</v>
      </c>
      <c r="H30" s="75">
        <f t="shared" si="2"/>
        <v>1999999.9999999998</v>
      </c>
      <c r="I30" s="75">
        <f t="shared" si="12"/>
        <v>5670000</v>
      </c>
      <c r="J30" s="75">
        <f t="shared" si="3"/>
        <v>7670000</v>
      </c>
      <c r="K30" s="101">
        <f t="shared" si="4"/>
        <v>0.57999999999999996</v>
      </c>
      <c r="L30" s="75">
        <f t="shared" si="5"/>
        <v>44486</v>
      </c>
      <c r="N30" s="99">
        <f t="shared" si="13"/>
        <v>4012143667.4039736</v>
      </c>
      <c r="O30" s="99">
        <f t="shared" si="6"/>
        <v>4019813667.4039736</v>
      </c>
      <c r="P30" s="99">
        <f t="shared" si="14"/>
        <v>645493528</v>
      </c>
      <c r="Q30" s="99">
        <f t="shared" si="15"/>
        <v>502574536.38</v>
      </c>
      <c r="R30" s="102">
        <f t="shared" si="16"/>
        <v>5102.46</v>
      </c>
      <c r="S30" s="58">
        <f t="shared" si="17"/>
        <v>33516</v>
      </c>
      <c r="T30" s="103">
        <f>ROUND((1-0.55)*(0.666666*(0.5*(N30/R30)/(Dashboard!$C$31/AH30)+0.4*((P30/R30)/(Dashboard!$C$33/AH30))+0.1*((Q30/R30)/(Dashboard!$C$34/AH30)))+0.3333333*(0.5*(N30/S30)/(Dashboard!$C$31/AI30)+0.4*((P30/S30)/(Dashboard!$C$33/AI30))+0.1*((Q30/S30)/(Dashboard!$C$34/AI30)))),4)</f>
        <v>0.34970000000000001</v>
      </c>
      <c r="U30" s="103">
        <f t="shared" si="7"/>
        <v>0.35</v>
      </c>
      <c r="V30" s="104">
        <f t="shared" si="8"/>
        <v>35971158.135544755</v>
      </c>
      <c r="W30" s="143">
        <f t="shared" si="9"/>
        <v>23392044.135544755</v>
      </c>
      <c r="X30" s="104">
        <f>Dashboard!$F$12*(1+$B$25)^(D30-1)</f>
        <v>12579114</v>
      </c>
      <c r="Y30" s="104">
        <f t="shared" si="24"/>
        <v>12589905.347440664</v>
      </c>
      <c r="Z30" s="99">
        <f t="shared" si="25"/>
        <v>10791.347440663725</v>
      </c>
      <c r="AA30" s="99">
        <f t="shared" si="26"/>
        <v>44486</v>
      </c>
      <c r="AB30" s="99">
        <f t="shared" si="27"/>
        <v>33694.652559336275</v>
      </c>
      <c r="AE30" s="106">
        <f>Dashboard!$C$31*(1+$B$13)^(1-D30)+H30</f>
        <v>1170094111098.9373</v>
      </c>
      <c r="AF30" s="107">
        <f t="shared" si="21"/>
        <v>271432497952.66599</v>
      </c>
      <c r="AG30" s="107">
        <f t="shared" si="22"/>
        <v>100207273998.17998</v>
      </c>
      <c r="AH30" s="107">
        <f t="shared" si="23"/>
        <v>1239781.2999999996</v>
      </c>
      <c r="AI30" s="64">
        <f t="shared" si="11"/>
        <v>8382993</v>
      </c>
    </row>
    <row r="31" spans="1:35" x14ac:dyDescent="0.3">
      <c r="D31" s="74">
        <v>30</v>
      </c>
      <c r="E31" s="99">
        <f t="shared" si="0"/>
        <v>19999999.999999996</v>
      </c>
      <c r="F31" s="99">
        <f t="shared" si="1"/>
        <v>19999999.999999996</v>
      </c>
      <c r="G31" s="100">
        <v>0.1</v>
      </c>
      <c r="H31" s="75">
        <f t="shared" si="2"/>
        <v>1999999.9999999998</v>
      </c>
      <c r="I31" s="75">
        <f t="shared" si="12"/>
        <v>5670000</v>
      </c>
      <c r="J31" s="75">
        <f t="shared" si="3"/>
        <v>7670000</v>
      </c>
      <c r="K31" s="101">
        <f t="shared" si="4"/>
        <v>0.57999999999999996</v>
      </c>
      <c r="L31" s="75">
        <f t="shared" si="5"/>
        <v>44486</v>
      </c>
      <c r="N31" s="99">
        <f t="shared" si="13"/>
        <v>4012143667.4039736</v>
      </c>
      <c r="O31" s="99">
        <f t="shared" si="6"/>
        <v>4019813667.4039736</v>
      </c>
      <c r="P31" s="99">
        <f t="shared" si="14"/>
        <v>645493528</v>
      </c>
      <c r="Q31" s="99">
        <f t="shared" si="15"/>
        <v>502574536.38</v>
      </c>
      <c r="R31" s="102">
        <f t="shared" si="16"/>
        <v>5102.46</v>
      </c>
      <c r="S31" s="58">
        <f t="shared" si="17"/>
        <v>33516</v>
      </c>
      <c r="T31" s="103">
        <f>ROUND((1-0.55)*(0.666666*(0.5*(N31/R31)/(Dashboard!$C$31/AH31)+0.4*((P31/R31)/(Dashboard!$C$33/AH31))+0.1*((Q31/R31)/(Dashboard!$C$34/AH31)))+0.3333333*(0.5*(N31/S31)/(Dashboard!$C$31/AI31)+0.4*((P31/S31)/(Dashboard!$C$33/AI31))+0.1*((Q31/S31)/(Dashboard!$C$34/AI31)))),4)</f>
        <v>0.34970000000000001</v>
      </c>
      <c r="U31" s="103">
        <f t="shared" si="7"/>
        <v>0.35</v>
      </c>
      <c r="V31" s="104">
        <f t="shared" si="8"/>
        <v>35971158.135544755</v>
      </c>
      <c r="W31" s="143">
        <f t="shared" si="9"/>
        <v>23392044.135544755</v>
      </c>
      <c r="X31" s="104">
        <f>Dashboard!$F$12*(1+$B$25)^(D31-1)</f>
        <v>12579114</v>
      </c>
      <c r="Y31" s="104">
        <f t="shared" si="24"/>
        <v>12589905.347440664</v>
      </c>
      <c r="Z31" s="99">
        <f t="shared" si="25"/>
        <v>10791.347440663725</v>
      </c>
      <c r="AA31" s="99">
        <f t="shared" si="26"/>
        <v>44486</v>
      </c>
      <c r="AB31" s="99">
        <f t="shared" si="27"/>
        <v>33694.652559336275</v>
      </c>
      <c r="AE31" s="106">
        <f>Dashboard!$C$31*(1+$B$13)^(1-D31)+H31</f>
        <v>1170094111098.9373</v>
      </c>
      <c r="AF31" s="107">
        <f t="shared" si="21"/>
        <v>271432497952.66599</v>
      </c>
      <c r="AG31" s="107">
        <f t="shared" si="22"/>
        <v>100207273998.17998</v>
      </c>
      <c r="AH31" s="107">
        <f t="shared" si="23"/>
        <v>1239781.2999999996</v>
      </c>
      <c r="AI31" s="64">
        <f t="shared" si="11"/>
        <v>8382993</v>
      </c>
    </row>
    <row r="32" spans="1:35" x14ac:dyDescent="0.3">
      <c r="D32" s="74">
        <v>31</v>
      </c>
      <c r="E32" s="99">
        <f t="shared" si="0"/>
        <v>19999999.999999996</v>
      </c>
      <c r="F32" s="99">
        <f t="shared" si="1"/>
        <v>19999999.999999996</v>
      </c>
      <c r="G32" s="100">
        <v>0.1</v>
      </c>
      <c r="H32" s="75">
        <f t="shared" si="2"/>
        <v>1999999.9999999998</v>
      </c>
      <c r="I32" s="75">
        <f t="shared" si="12"/>
        <v>5670000</v>
      </c>
      <c r="J32" s="75">
        <f t="shared" si="3"/>
        <v>7670000</v>
      </c>
      <c r="K32" s="101">
        <f t="shared" si="4"/>
        <v>0.57999999999999996</v>
      </c>
      <c r="L32" s="75">
        <f t="shared" si="5"/>
        <v>44486</v>
      </c>
      <c r="N32" s="99">
        <f t="shared" si="13"/>
        <v>4012143667.4039736</v>
      </c>
      <c r="O32" s="99">
        <f t="shared" si="6"/>
        <v>4019813667.4039736</v>
      </c>
      <c r="P32" s="99">
        <f t="shared" si="14"/>
        <v>645493528</v>
      </c>
      <c r="Q32" s="99">
        <f t="shared" si="15"/>
        <v>502574536.38</v>
      </c>
      <c r="R32" s="102">
        <f t="shared" si="16"/>
        <v>5102.46</v>
      </c>
      <c r="S32" s="58">
        <f t="shared" si="17"/>
        <v>33516</v>
      </c>
      <c r="T32" s="103">
        <f>ROUND((1-0.55)*(0.666666*(0.5*(N32/R32)/(Dashboard!$C$31/AH32)+0.4*((P32/R32)/(Dashboard!$C$33/AH32))+0.1*((Q32/R32)/(Dashboard!$C$34/AH32)))+0.3333333*(0.5*(N32/S32)/(Dashboard!$C$31/AI32)+0.4*((P32/S32)/(Dashboard!$C$33/AI32))+0.1*((Q32/S32)/(Dashboard!$C$34/AI32)))),4)</f>
        <v>0.34970000000000001</v>
      </c>
      <c r="U32" s="103">
        <f t="shared" si="7"/>
        <v>0.35</v>
      </c>
      <c r="V32" s="104">
        <f t="shared" si="8"/>
        <v>35971158.135544755</v>
      </c>
      <c r="W32" s="143">
        <f t="shared" si="9"/>
        <v>23392044.135544755</v>
      </c>
      <c r="X32" s="104">
        <f>Dashboard!$F$12*(1+$B$25)^(D32-1)</f>
        <v>12579114</v>
      </c>
      <c r="Y32" s="104">
        <f t="shared" si="24"/>
        <v>12589905.347440664</v>
      </c>
      <c r="Z32" s="99">
        <f t="shared" si="25"/>
        <v>10791.347440663725</v>
      </c>
      <c r="AA32" s="99">
        <f t="shared" si="26"/>
        <v>44486</v>
      </c>
      <c r="AB32" s="99">
        <f t="shared" si="27"/>
        <v>33694.652559336275</v>
      </c>
      <c r="AE32" s="106">
        <f>Dashboard!$C$31*(1+$B$13)^(1-D32)+H32</f>
        <v>1170094111098.9373</v>
      </c>
      <c r="AF32" s="107">
        <f t="shared" si="21"/>
        <v>271432497952.66599</v>
      </c>
      <c r="AG32" s="107">
        <f t="shared" si="22"/>
        <v>100207273998.17998</v>
      </c>
      <c r="AH32" s="107">
        <f t="shared" si="23"/>
        <v>1239781.2999999996</v>
      </c>
      <c r="AI32" s="64">
        <f t="shared" si="11"/>
        <v>8382993</v>
      </c>
    </row>
    <row r="33" spans="4:35" x14ac:dyDescent="0.3">
      <c r="D33" s="74">
        <v>32</v>
      </c>
      <c r="E33" s="99">
        <f t="shared" si="0"/>
        <v>19999999.999999996</v>
      </c>
      <c r="F33" s="99">
        <f t="shared" si="1"/>
        <v>19999999.999999996</v>
      </c>
      <c r="G33" s="100">
        <v>0.1</v>
      </c>
      <c r="H33" s="75">
        <f t="shared" si="2"/>
        <v>1999999.9999999998</v>
      </c>
      <c r="I33" s="75">
        <f t="shared" si="12"/>
        <v>5670000</v>
      </c>
      <c r="J33" s="75">
        <f t="shared" si="3"/>
        <v>7670000</v>
      </c>
      <c r="K33" s="101">
        <f t="shared" si="4"/>
        <v>0.57999999999999996</v>
      </c>
      <c r="L33" s="75">
        <f t="shared" si="5"/>
        <v>44486</v>
      </c>
      <c r="N33" s="99">
        <f t="shared" si="13"/>
        <v>4012143667.4039736</v>
      </c>
      <c r="O33" s="99">
        <f t="shared" si="6"/>
        <v>4019813667.4039736</v>
      </c>
      <c r="P33" s="99">
        <f t="shared" si="14"/>
        <v>645493528</v>
      </c>
      <c r="Q33" s="99">
        <f t="shared" si="15"/>
        <v>502574536.38</v>
      </c>
      <c r="R33" s="102">
        <f t="shared" si="16"/>
        <v>5102.46</v>
      </c>
      <c r="S33" s="58">
        <f t="shared" si="17"/>
        <v>33516</v>
      </c>
      <c r="T33" s="103">
        <f>ROUND((1-0.55)*(0.666666*(0.5*(N33/R33)/(Dashboard!$C$31/AH33)+0.4*((P33/R33)/(Dashboard!$C$33/AH33))+0.1*((Q33/R33)/(Dashboard!$C$34/AH33)))+0.3333333*(0.5*(N33/S33)/(Dashboard!$C$31/AI33)+0.4*((P33/S33)/(Dashboard!$C$33/AI33))+0.1*((Q33/S33)/(Dashboard!$C$34/AI33)))),4)</f>
        <v>0.34970000000000001</v>
      </c>
      <c r="U33" s="103">
        <f t="shared" si="7"/>
        <v>0.35</v>
      </c>
      <c r="V33" s="104">
        <f t="shared" si="8"/>
        <v>35971158.135544755</v>
      </c>
      <c r="W33" s="143">
        <f t="shared" si="9"/>
        <v>23392044.135544755</v>
      </c>
      <c r="X33" s="104">
        <f>Dashboard!$F$12*(1+$B$25)^(D33-1)</f>
        <v>12579114</v>
      </c>
      <c r="Y33" s="104">
        <f t="shared" si="24"/>
        <v>12589905.347440664</v>
      </c>
      <c r="Z33" s="99">
        <f t="shared" si="25"/>
        <v>10791.347440663725</v>
      </c>
      <c r="AA33" s="99">
        <f t="shared" si="26"/>
        <v>44486</v>
      </c>
      <c r="AB33" s="99">
        <f t="shared" si="27"/>
        <v>33694.652559336275</v>
      </c>
      <c r="AE33" s="106">
        <f>Dashboard!$C$31*(1+$B$13)^(1-D33)+H33</f>
        <v>1170094111098.9373</v>
      </c>
      <c r="AF33" s="107">
        <f t="shared" si="21"/>
        <v>271432497952.66599</v>
      </c>
      <c r="AG33" s="107">
        <f t="shared" si="22"/>
        <v>100207273998.17998</v>
      </c>
      <c r="AH33" s="107">
        <f t="shared" si="23"/>
        <v>1239781.2999999996</v>
      </c>
      <c r="AI33" s="64">
        <f t="shared" si="11"/>
        <v>8382993</v>
      </c>
    </row>
    <row r="34" spans="4:35" x14ac:dyDescent="0.3">
      <c r="D34" s="74">
        <v>33</v>
      </c>
      <c r="E34" s="99">
        <f t="shared" si="0"/>
        <v>19999999.999999996</v>
      </c>
      <c r="F34" s="99">
        <f t="shared" si="1"/>
        <v>19999999.999999996</v>
      </c>
      <c r="G34" s="100">
        <v>0.1</v>
      </c>
      <c r="H34" s="75">
        <f t="shared" si="2"/>
        <v>1999999.9999999998</v>
      </c>
      <c r="I34" s="75">
        <f t="shared" si="12"/>
        <v>5670000</v>
      </c>
      <c r="J34" s="75">
        <f t="shared" si="3"/>
        <v>7670000</v>
      </c>
      <c r="K34" s="101">
        <f t="shared" si="4"/>
        <v>0.57999999999999996</v>
      </c>
      <c r="L34" s="75">
        <f t="shared" si="5"/>
        <v>44486</v>
      </c>
      <c r="N34" s="99">
        <f t="shared" si="13"/>
        <v>4012143667.4039736</v>
      </c>
      <c r="O34" s="99">
        <f t="shared" si="6"/>
        <v>4019813667.4039736</v>
      </c>
      <c r="P34" s="99">
        <f t="shared" si="14"/>
        <v>645493528</v>
      </c>
      <c r="Q34" s="99">
        <f t="shared" si="15"/>
        <v>502574536.38</v>
      </c>
      <c r="R34" s="102">
        <f t="shared" si="16"/>
        <v>5102.46</v>
      </c>
      <c r="S34" s="58">
        <f t="shared" si="17"/>
        <v>33516</v>
      </c>
      <c r="T34" s="103">
        <f>ROUND((1-0.55)*(0.666666*(0.5*(N34/R34)/(Dashboard!$C$31/AH34)+0.4*((P34/R34)/(Dashboard!$C$33/AH34))+0.1*((Q34/R34)/(Dashboard!$C$34/AH34)))+0.3333333*(0.5*(N34/S34)/(Dashboard!$C$31/AI34)+0.4*((P34/S34)/(Dashboard!$C$33/AI34))+0.1*((Q34/S34)/(Dashboard!$C$34/AI34)))),4)</f>
        <v>0.34970000000000001</v>
      </c>
      <c r="U34" s="103">
        <f t="shared" si="7"/>
        <v>0.35</v>
      </c>
      <c r="V34" s="104">
        <f t="shared" si="8"/>
        <v>35971158.135544755</v>
      </c>
      <c r="W34" s="143">
        <f t="shared" si="9"/>
        <v>23392044.135544755</v>
      </c>
      <c r="X34" s="104">
        <f>Dashboard!$F$12*(1+$B$25)^(D34-1)</f>
        <v>12579114</v>
      </c>
      <c r="Y34" s="104">
        <f t="shared" si="24"/>
        <v>12589905.347440664</v>
      </c>
      <c r="Z34" s="99">
        <f t="shared" si="25"/>
        <v>10791.347440663725</v>
      </c>
      <c r="AA34" s="99">
        <f t="shared" si="26"/>
        <v>44486</v>
      </c>
      <c r="AB34" s="99">
        <f t="shared" si="27"/>
        <v>33694.652559336275</v>
      </c>
      <c r="AE34" s="106">
        <f>Dashboard!$C$31*(1+$B$13)^(1-D34)+H34</f>
        <v>1170094111098.9373</v>
      </c>
      <c r="AF34" s="107">
        <f t="shared" si="21"/>
        <v>271432497952.66599</v>
      </c>
      <c r="AG34" s="107">
        <f t="shared" si="22"/>
        <v>100207273998.17998</v>
      </c>
      <c r="AH34" s="107">
        <f t="shared" si="23"/>
        <v>1239781.2999999996</v>
      </c>
      <c r="AI34" s="64">
        <f t="shared" si="11"/>
        <v>8382993</v>
      </c>
    </row>
    <row r="35" spans="4:35" x14ac:dyDescent="0.3">
      <c r="D35" s="74">
        <v>34</v>
      </c>
      <c r="E35" s="99">
        <f t="shared" si="0"/>
        <v>19999999.999999996</v>
      </c>
      <c r="F35" s="99">
        <f t="shared" si="1"/>
        <v>19999999.999999996</v>
      </c>
      <c r="G35" s="100">
        <v>0.1</v>
      </c>
      <c r="H35" s="75">
        <f t="shared" si="2"/>
        <v>1999999.9999999998</v>
      </c>
      <c r="I35" s="75">
        <f t="shared" si="12"/>
        <v>5670000</v>
      </c>
      <c r="J35" s="75">
        <f t="shared" si="3"/>
        <v>7670000</v>
      </c>
      <c r="K35" s="101">
        <f t="shared" si="4"/>
        <v>0.57999999999999996</v>
      </c>
      <c r="L35" s="75">
        <f t="shared" si="5"/>
        <v>44486</v>
      </c>
      <c r="N35" s="99">
        <f t="shared" si="13"/>
        <v>4012143667.4039736</v>
      </c>
      <c r="O35" s="99">
        <f t="shared" si="6"/>
        <v>4019813667.4039736</v>
      </c>
      <c r="P35" s="99">
        <f t="shared" si="14"/>
        <v>645493528</v>
      </c>
      <c r="Q35" s="99">
        <f t="shared" si="15"/>
        <v>502574536.38</v>
      </c>
      <c r="R35" s="102">
        <f t="shared" si="16"/>
        <v>5102.46</v>
      </c>
      <c r="S35" s="58">
        <f t="shared" si="17"/>
        <v>33516</v>
      </c>
      <c r="T35" s="103">
        <f>ROUND((1-0.55)*(0.666666*(0.5*(N35/R35)/(Dashboard!$C$31/AH35)+0.4*((P35/R35)/(Dashboard!$C$33/AH35))+0.1*((Q35/R35)/(Dashboard!$C$34/AH35)))+0.3333333*(0.5*(N35/S35)/(Dashboard!$C$31/AI35)+0.4*((P35/S35)/(Dashboard!$C$33/AI35))+0.1*((Q35/S35)/(Dashboard!$C$34/AI35)))),4)</f>
        <v>0.34970000000000001</v>
      </c>
      <c r="U35" s="103">
        <f t="shared" si="7"/>
        <v>0.35</v>
      </c>
      <c r="V35" s="104">
        <f t="shared" si="8"/>
        <v>35971158.135544755</v>
      </c>
      <c r="W35" s="143">
        <f t="shared" si="9"/>
        <v>23392044.135544755</v>
      </c>
      <c r="X35" s="104">
        <f>Dashboard!$F$12*(1+$B$25)^(D35-1)</f>
        <v>12579114</v>
      </c>
      <c r="Y35" s="104">
        <f t="shared" si="24"/>
        <v>12589905.347440664</v>
      </c>
      <c r="Z35" s="99">
        <f t="shared" si="25"/>
        <v>10791.347440663725</v>
      </c>
      <c r="AA35" s="99">
        <f t="shared" si="26"/>
        <v>44486</v>
      </c>
      <c r="AB35" s="99">
        <f t="shared" si="27"/>
        <v>33694.652559336275</v>
      </c>
      <c r="AE35" s="106">
        <f>Dashboard!$C$31*(1+$B$13)^(1-D35)+H35</f>
        <v>1170094111098.9373</v>
      </c>
      <c r="AF35" s="107">
        <f t="shared" si="21"/>
        <v>271432497952.66599</v>
      </c>
      <c r="AG35" s="107">
        <f t="shared" si="22"/>
        <v>100207273998.17998</v>
      </c>
      <c r="AH35" s="107">
        <f t="shared" si="23"/>
        <v>1239781.2999999996</v>
      </c>
      <c r="AI35" s="64">
        <f t="shared" si="11"/>
        <v>8382993</v>
      </c>
    </row>
    <row r="36" spans="4:35" ht="15" thickBot="1" x14ac:dyDescent="0.35">
      <c r="D36" s="74">
        <v>35</v>
      </c>
      <c r="E36" s="99">
        <f t="shared" si="0"/>
        <v>19999999.999999996</v>
      </c>
      <c r="F36" s="99">
        <f t="shared" si="1"/>
        <v>19999999.999999996</v>
      </c>
      <c r="G36" s="100">
        <v>0.1</v>
      </c>
      <c r="H36" s="75">
        <f t="shared" si="2"/>
        <v>1999999.9999999998</v>
      </c>
      <c r="I36" s="75">
        <f t="shared" si="12"/>
        <v>5670000</v>
      </c>
      <c r="J36" s="75">
        <f t="shared" si="3"/>
        <v>7670000</v>
      </c>
      <c r="K36" s="101">
        <f t="shared" si="4"/>
        <v>0.57999999999999996</v>
      </c>
      <c r="L36" s="75">
        <f t="shared" si="5"/>
        <v>44486</v>
      </c>
      <c r="N36" s="99">
        <f t="shared" si="13"/>
        <v>4012143667.4039736</v>
      </c>
      <c r="O36" s="99">
        <f t="shared" si="6"/>
        <v>4019813667.4039736</v>
      </c>
      <c r="P36" s="99">
        <f t="shared" si="14"/>
        <v>645493528</v>
      </c>
      <c r="Q36" s="99">
        <f t="shared" si="15"/>
        <v>502574536.38</v>
      </c>
      <c r="R36" s="102">
        <f t="shared" si="16"/>
        <v>5102.46</v>
      </c>
      <c r="S36" s="58">
        <f t="shared" si="17"/>
        <v>33516</v>
      </c>
      <c r="T36" s="103">
        <f>ROUND((1-0.55)*(0.666666*(0.5*(N36/R36)/(Dashboard!$C$31/AH36)+0.4*((P36/R36)/(Dashboard!$C$33/AH36))+0.1*((Q36/R36)/(Dashboard!$C$34/AH36)))+0.3333333*(0.5*(N36/S36)/(Dashboard!$C$31/AI36)+0.4*((P36/S36)/(Dashboard!$C$33/AI36))+0.1*((Q36/S36)/(Dashboard!$C$34/AI36)))),4)</f>
        <v>0.34970000000000001</v>
      </c>
      <c r="U36" s="103">
        <f t="shared" si="7"/>
        <v>0.35</v>
      </c>
      <c r="V36" s="104">
        <f t="shared" si="8"/>
        <v>35971158.135544755</v>
      </c>
      <c r="W36" s="143">
        <f t="shared" si="9"/>
        <v>23392044.135544755</v>
      </c>
      <c r="X36" s="104">
        <f>Dashboard!$F$12*(1+$B$25)^(D36-1)</f>
        <v>12579114</v>
      </c>
      <c r="Y36" s="104">
        <f t="shared" si="24"/>
        <v>12589905.347440664</v>
      </c>
      <c r="Z36" s="99">
        <f t="shared" si="25"/>
        <v>10791.347440663725</v>
      </c>
      <c r="AA36" s="99">
        <f t="shared" si="26"/>
        <v>44486</v>
      </c>
      <c r="AB36" s="99">
        <f t="shared" si="27"/>
        <v>33694.652559336275</v>
      </c>
      <c r="AE36" s="119">
        <f>Dashboard!$C$31*(1+$B$13)^(1-D36)+H36</f>
        <v>1170094111098.9373</v>
      </c>
      <c r="AF36" s="120">
        <f t="shared" si="21"/>
        <v>271432497952.66599</v>
      </c>
      <c r="AG36" s="120">
        <f t="shared" si="22"/>
        <v>100207273998.17998</v>
      </c>
      <c r="AH36" s="120">
        <f t="shared" si="23"/>
        <v>1239781.2999999996</v>
      </c>
      <c r="AI36" s="65">
        <f t="shared" si="11"/>
        <v>8382993</v>
      </c>
    </row>
    <row r="37" spans="4:35" x14ac:dyDescent="0.3">
      <c r="G37" s="100"/>
    </row>
    <row r="38" spans="4:35" x14ac:dyDescent="0.3">
      <c r="G38" s="100"/>
    </row>
    <row r="39" spans="4:35" x14ac:dyDescent="0.3">
      <c r="G39" s="100"/>
    </row>
    <row r="40" spans="4:35" x14ac:dyDescent="0.3">
      <c r="G40" s="100"/>
      <c r="K40" s="117"/>
      <c r="L40" s="117"/>
      <c r="M40" s="104"/>
    </row>
    <row r="41" spans="4:35" x14ac:dyDescent="0.3">
      <c r="G41" s="100"/>
      <c r="H41" s="100"/>
      <c r="I41" s="100"/>
      <c r="J41" s="100"/>
      <c r="K41" s="104"/>
      <c r="L41" s="104"/>
      <c r="M41" s="104"/>
    </row>
    <row r="42" spans="4:35" x14ac:dyDescent="0.3">
      <c r="H42" s="100"/>
      <c r="I42" s="100"/>
      <c r="J42" s="100"/>
      <c r="K42" s="104"/>
      <c r="L42" s="104"/>
      <c r="M42" s="104"/>
    </row>
    <row r="43" spans="4:35" x14ac:dyDescent="0.3">
      <c r="H43" s="100"/>
      <c r="I43" s="100"/>
      <c r="J43" s="100"/>
      <c r="K43" s="104"/>
      <c r="L43" s="104"/>
      <c r="M43" s="104"/>
    </row>
    <row r="44" spans="4:35" x14ac:dyDescent="0.3">
      <c r="H44" s="100"/>
      <c r="I44" s="100"/>
      <c r="J44" s="100"/>
      <c r="K44" s="104"/>
      <c r="L44" s="104"/>
      <c r="M44" s="104"/>
    </row>
  </sheetData>
  <mergeCells count="4">
    <mergeCell ref="A12:B12"/>
    <mergeCell ref="A18:B18"/>
    <mergeCell ref="A2:B2"/>
    <mergeCell ref="A9:B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6349027-3391-498F-A78C-5B1DD814FF5C}">
          <x14:formula1>
            <xm:f>'CI Data'!$A$4:$A$132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5D3D-B669-4C75-A07A-B62304482177}">
  <sheetPr codeName="Sheet7"/>
  <dimension ref="A1:BU136"/>
  <sheetViews>
    <sheetView workbookViewId="0">
      <selection activeCell="B1" sqref="B1"/>
    </sheetView>
  </sheetViews>
  <sheetFormatPr defaultColWidth="9.109375" defaultRowHeight="14.4" x14ac:dyDescent="0.3"/>
  <cols>
    <col min="1" max="1" width="23.33203125" style="53" customWidth="1"/>
    <col min="2" max="2" width="20.109375" style="74" bestFit="1" customWidth="1"/>
    <col min="3" max="3" width="17.88671875" style="74" bestFit="1" customWidth="1"/>
    <col min="4" max="4" width="23.44140625" style="74" customWidth="1"/>
    <col min="5" max="5" width="23.33203125" style="53" customWidth="1"/>
    <col min="6" max="6" width="17.109375" style="53" customWidth="1"/>
    <col min="7" max="7" width="14.5546875" style="53" customWidth="1"/>
    <col min="8" max="16384" width="9.109375" style="53"/>
  </cols>
  <sheetData>
    <row r="1" spans="1:73" s="87" customFormat="1" ht="15" x14ac:dyDescent="0.25">
      <c r="A1" s="82" t="s">
        <v>279</v>
      </c>
      <c r="B1" s="83" t="s">
        <v>280</v>
      </c>
      <c r="C1" s="84"/>
      <c r="D1" s="85"/>
      <c r="E1" s="84"/>
      <c r="F1" s="85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</row>
    <row r="2" spans="1:73" x14ac:dyDescent="0.3">
      <c r="B2" s="88"/>
      <c r="C2" s="88"/>
      <c r="D2" s="88"/>
      <c r="E2" s="89"/>
      <c r="F2" s="89"/>
      <c r="G2" s="89"/>
    </row>
    <row r="3" spans="1:73" ht="39.6" x14ac:dyDescent="0.3">
      <c r="A3" s="90" t="s">
        <v>138</v>
      </c>
      <c r="B3" s="91" t="s">
        <v>339</v>
      </c>
      <c r="C3" s="91" t="s">
        <v>340</v>
      </c>
      <c r="D3" s="91" t="s">
        <v>341</v>
      </c>
      <c r="E3" s="90"/>
    </row>
    <row r="4" spans="1:73" x14ac:dyDescent="0.3">
      <c r="A4" s="92" t="s">
        <v>139</v>
      </c>
      <c r="B4" s="93">
        <v>1</v>
      </c>
      <c r="C4" s="94">
        <v>0.57999999999999996</v>
      </c>
      <c r="D4" s="94">
        <f t="shared" ref="D4:D67" si="0">C4*B4</f>
        <v>0.57999999999999996</v>
      </c>
      <c r="E4" s="92"/>
    </row>
    <row r="5" spans="1:73" x14ac:dyDescent="0.3">
      <c r="A5" s="92" t="s">
        <v>140</v>
      </c>
      <c r="B5" s="93">
        <v>0.96499999999999997</v>
      </c>
      <c r="C5" s="94">
        <v>0.84</v>
      </c>
      <c r="D5" s="94">
        <f t="shared" si="0"/>
        <v>0.81059999999999999</v>
      </c>
      <c r="E5" s="92"/>
    </row>
    <row r="6" spans="1:73" x14ac:dyDescent="0.3">
      <c r="A6" s="92" t="s">
        <v>167</v>
      </c>
      <c r="B6" s="93">
        <v>0.97299999999999998</v>
      </c>
      <c r="C6" s="94">
        <v>1.07</v>
      </c>
      <c r="D6" s="94">
        <f t="shared" si="0"/>
        <v>1.04111</v>
      </c>
      <c r="E6" s="92"/>
    </row>
    <row r="7" spans="1:73" x14ac:dyDescent="0.3">
      <c r="A7" s="92" t="s">
        <v>141</v>
      </c>
      <c r="B7" s="93">
        <v>0.91600000000000004</v>
      </c>
      <c r="C7" s="94">
        <v>0.71</v>
      </c>
      <c r="D7" s="94">
        <f t="shared" si="0"/>
        <v>0.65035999999999994</v>
      </c>
      <c r="E7" s="92"/>
    </row>
    <row r="8" spans="1:73" x14ac:dyDescent="0.3">
      <c r="A8" s="92" t="s">
        <v>142</v>
      </c>
      <c r="B8" s="93">
        <v>0.90500000000000003</v>
      </c>
      <c r="C8" s="94">
        <v>0.51</v>
      </c>
      <c r="D8" s="94">
        <f t="shared" si="0"/>
        <v>0.46155000000000002</v>
      </c>
      <c r="E8" s="92"/>
    </row>
    <row r="9" spans="1:73" x14ac:dyDescent="0.3">
      <c r="A9" s="92" t="s">
        <v>143</v>
      </c>
      <c r="B9" s="93">
        <v>1</v>
      </c>
      <c r="C9" s="94">
        <v>0.61</v>
      </c>
      <c r="D9" s="94">
        <f t="shared" si="0"/>
        <v>0.61</v>
      </c>
      <c r="E9" s="92"/>
    </row>
    <row r="10" spans="1:73" x14ac:dyDescent="0.3">
      <c r="A10" s="92" t="s">
        <v>144</v>
      </c>
      <c r="B10" s="93">
        <v>1</v>
      </c>
      <c r="C10" s="94">
        <v>0.65</v>
      </c>
      <c r="D10" s="94">
        <f t="shared" si="0"/>
        <v>0.65</v>
      </c>
      <c r="E10" s="92"/>
    </row>
    <row r="11" spans="1:73" x14ac:dyDescent="0.3">
      <c r="A11" s="92" t="s">
        <v>145</v>
      </c>
      <c r="B11" s="93">
        <v>0.95699999999999996</v>
      </c>
      <c r="C11" s="94">
        <v>0.98</v>
      </c>
      <c r="D11" s="94">
        <f t="shared" si="0"/>
        <v>0.93785999999999992</v>
      </c>
      <c r="E11" s="92"/>
    </row>
    <row r="12" spans="1:73" x14ac:dyDescent="0.3">
      <c r="A12" s="92" t="s">
        <v>146</v>
      </c>
      <c r="B12" s="93">
        <v>0.94299999999999995</v>
      </c>
      <c r="C12" s="94">
        <v>0.63</v>
      </c>
      <c r="D12" s="94">
        <f t="shared" si="0"/>
        <v>0.59409000000000001</v>
      </c>
      <c r="E12" s="92"/>
    </row>
    <row r="13" spans="1:73" x14ac:dyDescent="0.3">
      <c r="A13" s="92" t="s">
        <v>147</v>
      </c>
      <c r="B13" s="93">
        <v>0.999</v>
      </c>
      <c r="C13" s="94">
        <v>0.48</v>
      </c>
      <c r="D13" s="94">
        <f t="shared" si="0"/>
        <v>0.47952</v>
      </c>
      <c r="E13" s="92"/>
    </row>
    <row r="14" spans="1:73" x14ac:dyDescent="0.3">
      <c r="A14" s="92" t="s">
        <v>148</v>
      </c>
      <c r="B14" s="93">
        <v>0.98199999999999998</v>
      </c>
      <c r="C14" s="94">
        <v>0.52</v>
      </c>
      <c r="D14" s="94">
        <f t="shared" si="0"/>
        <v>0.51063999999999998</v>
      </c>
      <c r="E14" s="92"/>
    </row>
    <row r="15" spans="1:73" x14ac:dyDescent="0.3">
      <c r="A15" s="92" t="s">
        <v>149</v>
      </c>
      <c r="B15" s="93">
        <v>1</v>
      </c>
      <c r="C15" s="94">
        <v>0.6</v>
      </c>
      <c r="D15" s="94">
        <f t="shared" si="0"/>
        <v>0.6</v>
      </c>
      <c r="E15" s="92"/>
    </row>
    <row r="16" spans="1:73" x14ac:dyDescent="0.3">
      <c r="A16" s="92" t="s">
        <v>150</v>
      </c>
      <c r="B16" s="93">
        <v>0.96</v>
      </c>
      <c r="C16" s="94">
        <v>0.79</v>
      </c>
      <c r="D16" s="94">
        <f t="shared" si="0"/>
        <v>0.75839999999999996</v>
      </c>
      <c r="E16" s="92"/>
    </row>
    <row r="17" spans="1:5" x14ac:dyDescent="0.3">
      <c r="A17" s="92" t="s">
        <v>168</v>
      </c>
      <c r="B17" s="93">
        <v>0.92500000000000004</v>
      </c>
      <c r="C17" s="94">
        <v>1.1200000000000001</v>
      </c>
      <c r="D17" s="94">
        <f t="shared" si="0"/>
        <v>1.0360000000000003</v>
      </c>
      <c r="E17" s="92"/>
    </row>
    <row r="18" spans="1:5" x14ac:dyDescent="0.3">
      <c r="A18" s="92" t="s">
        <v>151</v>
      </c>
      <c r="B18" s="93">
        <v>0.995</v>
      </c>
      <c r="C18" s="94">
        <v>0.47</v>
      </c>
      <c r="D18" s="94">
        <f t="shared" si="0"/>
        <v>0.46764999999999995</v>
      </c>
      <c r="E18" s="92"/>
    </row>
    <row r="19" spans="1:5" x14ac:dyDescent="0.3">
      <c r="A19" s="92" t="s">
        <v>152</v>
      </c>
      <c r="B19" s="93">
        <v>0.98</v>
      </c>
      <c r="C19" s="94">
        <v>0.43</v>
      </c>
      <c r="D19" s="94">
        <f t="shared" si="0"/>
        <v>0.4214</v>
      </c>
      <c r="E19" s="92"/>
    </row>
    <row r="20" spans="1:5" x14ac:dyDescent="0.3">
      <c r="A20" s="92" t="s">
        <v>153</v>
      </c>
      <c r="B20" s="93">
        <v>1</v>
      </c>
      <c r="C20" s="94">
        <v>0.55000000000000004</v>
      </c>
      <c r="D20" s="94">
        <f t="shared" si="0"/>
        <v>0.55000000000000004</v>
      </c>
      <c r="E20" s="92"/>
    </row>
    <row r="21" spans="1:5" x14ac:dyDescent="0.3">
      <c r="A21" s="92" t="s">
        <v>169</v>
      </c>
      <c r="B21" s="93">
        <v>1</v>
      </c>
      <c r="C21" s="94">
        <v>1.21</v>
      </c>
      <c r="D21" s="94">
        <f t="shared" si="0"/>
        <v>1.21</v>
      </c>
      <c r="E21" s="92"/>
    </row>
    <row r="22" spans="1:5" x14ac:dyDescent="0.3">
      <c r="A22" s="92" t="s">
        <v>154</v>
      </c>
      <c r="B22" s="93">
        <v>0.96399999999999997</v>
      </c>
      <c r="C22" s="94">
        <v>0.52</v>
      </c>
      <c r="D22" s="94">
        <f t="shared" si="0"/>
        <v>0.50127999999999995</v>
      </c>
      <c r="E22" s="92"/>
    </row>
    <row r="23" spans="1:5" x14ac:dyDescent="0.3">
      <c r="A23" s="92" t="s">
        <v>155</v>
      </c>
      <c r="B23" s="93">
        <v>0.95</v>
      </c>
      <c r="C23" s="94">
        <v>0.82</v>
      </c>
      <c r="D23" s="94">
        <f t="shared" si="0"/>
        <v>0.77899999999999991</v>
      </c>
      <c r="E23" s="92"/>
    </row>
    <row r="24" spans="1:5" x14ac:dyDescent="0.3">
      <c r="A24" s="92" t="s">
        <v>156</v>
      </c>
      <c r="B24" s="93">
        <v>0.996</v>
      </c>
      <c r="C24" s="94">
        <v>0.68</v>
      </c>
      <c r="D24" s="94">
        <f t="shared" si="0"/>
        <v>0.67727999999999999</v>
      </c>
      <c r="E24" s="92"/>
    </row>
    <row r="25" spans="1:5" x14ac:dyDescent="0.3">
      <c r="A25" s="92" t="s">
        <v>157</v>
      </c>
      <c r="B25" s="93">
        <v>0.91200000000000003</v>
      </c>
      <c r="C25" s="94">
        <v>0.72</v>
      </c>
      <c r="D25" s="94">
        <f t="shared" si="0"/>
        <v>0.65664</v>
      </c>
      <c r="E25" s="92"/>
    </row>
    <row r="26" spans="1:5" x14ac:dyDescent="0.3">
      <c r="A26" s="92" t="s">
        <v>158</v>
      </c>
      <c r="B26" s="93">
        <v>0.97</v>
      </c>
      <c r="C26" s="94">
        <v>0.53</v>
      </c>
      <c r="D26" s="94">
        <f t="shared" si="0"/>
        <v>0.5141</v>
      </c>
      <c r="E26" s="92"/>
    </row>
    <row r="27" spans="1:5" x14ac:dyDescent="0.3">
      <c r="A27" s="92" t="s">
        <v>170</v>
      </c>
      <c r="B27" s="93">
        <v>0.98399999999999999</v>
      </c>
      <c r="C27" s="94">
        <v>0.95</v>
      </c>
      <c r="D27" s="94">
        <f t="shared" si="0"/>
        <v>0.93479999999999996</v>
      </c>
      <c r="E27" s="92"/>
    </row>
    <row r="28" spans="1:5" x14ac:dyDescent="0.3">
      <c r="A28" s="92" t="s">
        <v>171</v>
      </c>
      <c r="B28" s="93">
        <v>0.97399999999999998</v>
      </c>
      <c r="C28" s="94">
        <v>1.04</v>
      </c>
      <c r="D28" s="94">
        <f t="shared" si="0"/>
        <v>1.0129600000000001</v>
      </c>
      <c r="E28" s="92"/>
    </row>
    <row r="29" spans="1:5" x14ac:dyDescent="0.3">
      <c r="A29" s="92" t="s">
        <v>159</v>
      </c>
      <c r="B29" s="93">
        <v>0.97</v>
      </c>
      <c r="C29" s="94">
        <v>0.96</v>
      </c>
      <c r="D29" s="94">
        <f t="shared" si="0"/>
        <v>0.93119999999999992</v>
      </c>
      <c r="E29" s="92"/>
    </row>
    <row r="30" spans="1:5" x14ac:dyDescent="0.3">
      <c r="A30" s="92" t="s">
        <v>160</v>
      </c>
      <c r="B30" s="93">
        <v>0.96</v>
      </c>
      <c r="C30" s="94">
        <v>0.66</v>
      </c>
      <c r="D30" s="94">
        <f t="shared" si="0"/>
        <v>0.63360000000000005</v>
      </c>
      <c r="E30" s="92"/>
    </row>
    <row r="31" spans="1:5" x14ac:dyDescent="0.3">
      <c r="A31" s="92" t="s">
        <v>172</v>
      </c>
      <c r="B31" s="93">
        <v>0.98699999999999999</v>
      </c>
      <c r="C31" s="94">
        <v>1.1399999999999999</v>
      </c>
      <c r="D31" s="94">
        <f t="shared" si="0"/>
        <v>1.1251799999999998</v>
      </c>
      <c r="E31" s="92"/>
    </row>
    <row r="32" spans="1:5" x14ac:dyDescent="0.3">
      <c r="A32" s="92" t="s">
        <v>173</v>
      </c>
      <c r="B32" s="93">
        <v>1</v>
      </c>
      <c r="C32" s="94">
        <v>0.75</v>
      </c>
      <c r="D32" s="94">
        <f t="shared" si="0"/>
        <v>0.75</v>
      </c>
      <c r="E32" s="92"/>
    </row>
    <row r="33" spans="1:5" x14ac:dyDescent="0.3">
      <c r="A33" s="92" t="s">
        <v>161</v>
      </c>
      <c r="B33" s="93">
        <v>0.98599999999999999</v>
      </c>
      <c r="C33" s="94">
        <v>0.56000000000000005</v>
      </c>
      <c r="D33" s="94">
        <f t="shared" si="0"/>
        <v>0.5521600000000001</v>
      </c>
      <c r="E33" s="92"/>
    </row>
    <row r="34" spans="1:5" x14ac:dyDescent="0.3">
      <c r="A34" s="92" t="s">
        <v>162</v>
      </c>
      <c r="B34" s="93">
        <v>0.86</v>
      </c>
      <c r="C34" s="94">
        <v>0.73</v>
      </c>
      <c r="D34" s="94">
        <f t="shared" si="0"/>
        <v>0.62780000000000002</v>
      </c>
      <c r="E34" s="92"/>
    </row>
    <row r="35" spans="1:5" x14ac:dyDescent="0.3">
      <c r="A35" s="92" t="s">
        <v>163</v>
      </c>
      <c r="B35" s="93">
        <v>0.95799999999999996</v>
      </c>
      <c r="C35" s="94">
        <v>0.78</v>
      </c>
      <c r="D35" s="94">
        <f t="shared" si="0"/>
        <v>0.74724000000000002</v>
      </c>
      <c r="E35" s="92"/>
    </row>
    <row r="36" spans="1:5" x14ac:dyDescent="0.3">
      <c r="A36" s="92" t="s">
        <v>174</v>
      </c>
      <c r="B36" s="93">
        <v>0.95699999999999996</v>
      </c>
      <c r="C36" s="94">
        <v>0.73</v>
      </c>
      <c r="D36" s="94">
        <f t="shared" si="0"/>
        <v>0.69860999999999995</v>
      </c>
      <c r="E36" s="92"/>
    </row>
    <row r="37" spans="1:5" x14ac:dyDescent="0.3">
      <c r="A37" s="92" t="s">
        <v>164</v>
      </c>
      <c r="B37" s="93">
        <v>1</v>
      </c>
      <c r="C37" s="94">
        <v>0.56000000000000005</v>
      </c>
      <c r="D37" s="94">
        <f t="shared" si="0"/>
        <v>0.56000000000000005</v>
      </c>
      <c r="E37" s="92"/>
    </row>
    <row r="38" spans="1:5" x14ac:dyDescent="0.3">
      <c r="A38" s="92" t="s">
        <v>165</v>
      </c>
      <c r="B38" s="93">
        <v>0.97399999999999998</v>
      </c>
      <c r="C38" s="94">
        <v>0.79</v>
      </c>
      <c r="D38" s="94">
        <f t="shared" si="0"/>
        <v>0.76946000000000003</v>
      </c>
      <c r="E38" s="92"/>
    </row>
    <row r="39" spans="1:5" x14ac:dyDescent="0.3">
      <c r="A39" s="92" t="s">
        <v>175</v>
      </c>
      <c r="B39" s="93">
        <v>0.97899999999999998</v>
      </c>
      <c r="C39" s="94">
        <v>0.9</v>
      </c>
      <c r="D39" s="94">
        <f t="shared" si="0"/>
        <v>0.88109999999999999</v>
      </c>
      <c r="E39" s="92"/>
    </row>
    <row r="40" spans="1:5" x14ac:dyDescent="0.3">
      <c r="A40" s="92" t="s">
        <v>166</v>
      </c>
      <c r="B40" s="93">
        <v>0.94799999999999995</v>
      </c>
      <c r="C40" s="94">
        <v>0.88</v>
      </c>
      <c r="D40" s="94">
        <f t="shared" si="0"/>
        <v>0.83423999999999998</v>
      </c>
      <c r="E40" s="92"/>
    </row>
    <row r="41" spans="1:5" x14ac:dyDescent="0.3">
      <c r="A41" s="92" t="s">
        <v>176</v>
      </c>
      <c r="B41" s="93">
        <v>0.99199999999999999</v>
      </c>
      <c r="C41" s="94">
        <v>1.06</v>
      </c>
      <c r="D41" s="94">
        <f t="shared" si="0"/>
        <v>1.05152</v>
      </c>
    </row>
    <row r="42" spans="1:5" x14ac:dyDescent="0.3">
      <c r="A42" s="92" t="s">
        <v>176</v>
      </c>
      <c r="B42" s="93">
        <v>0.95499999999999996</v>
      </c>
      <c r="C42" s="94">
        <v>1.1299999999999999</v>
      </c>
      <c r="D42" s="94">
        <f t="shared" si="0"/>
        <v>1.0791499999999998</v>
      </c>
    </row>
    <row r="43" spans="1:5" x14ac:dyDescent="0.3">
      <c r="A43" s="92" t="s">
        <v>177</v>
      </c>
      <c r="B43" s="93">
        <v>0.95</v>
      </c>
      <c r="C43" s="94">
        <v>1.32</v>
      </c>
      <c r="D43" s="94">
        <f t="shared" si="0"/>
        <v>1.254</v>
      </c>
    </row>
    <row r="44" spans="1:5" x14ac:dyDescent="0.3">
      <c r="A44" s="92" t="s">
        <v>186</v>
      </c>
      <c r="B44" s="93">
        <v>0.86699999999999999</v>
      </c>
      <c r="C44" s="94">
        <v>1.04</v>
      </c>
      <c r="D44" s="94">
        <f t="shared" si="0"/>
        <v>0.90168000000000004</v>
      </c>
    </row>
    <row r="45" spans="1:5" x14ac:dyDescent="0.3">
      <c r="A45" s="92" t="s">
        <v>187</v>
      </c>
      <c r="B45" s="93">
        <v>0.996</v>
      </c>
      <c r="C45" s="94">
        <v>0.55000000000000004</v>
      </c>
      <c r="D45" s="94">
        <f t="shared" si="0"/>
        <v>0.54780000000000006</v>
      </c>
    </row>
    <row r="46" spans="1:5" x14ac:dyDescent="0.3">
      <c r="A46" s="92" t="s">
        <v>188</v>
      </c>
      <c r="B46" s="93">
        <v>0.95599999999999996</v>
      </c>
      <c r="C46" s="94">
        <v>0.92</v>
      </c>
      <c r="D46" s="94">
        <f t="shared" si="0"/>
        <v>0.87951999999999997</v>
      </c>
    </row>
    <row r="47" spans="1:5" x14ac:dyDescent="0.3">
      <c r="A47" s="92" t="s">
        <v>178</v>
      </c>
      <c r="B47" s="93">
        <v>0.98199999999999998</v>
      </c>
      <c r="C47" s="94">
        <v>0.99</v>
      </c>
      <c r="D47" s="94">
        <f t="shared" si="0"/>
        <v>0.97217999999999993</v>
      </c>
    </row>
    <row r="48" spans="1:5" x14ac:dyDescent="0.3">
      <c r="A48" s="92" t="s">
        <v>178</v>
      </c>
      <c r="B48" s="93">
        <v>0.99099999999999999</v>
      </c>
      <c r="C48" s="94">
        <v>0.55000000000000004</v>
      </c>
      <c r="D48" s="94">
        <f t="shared" si="0"/>
        <v>0.54505000000000003</v>
      </c>
    </row>
    <row r="49" spans="1:4" x14ac:dyDescent="0.3">
      <c r="A49" s="92" t="s">
        <v>189</v>
      </c>
      <c r="B49" s="93">
        <v>0.86699999999999999</v>
      </c>
      <c r="C49" s="94">
        <v>0.6</v>
      </c>
      <c r="D49" s="94">
        <f t="shared" si="0"/>
        <v>0.5202</v>
      </c>
    </row>
    <row r="50" spans="1:4" x14ac:dyDescent="0.3">
      <c r="A50" s="92" t="s">
        <v>179</v>
      </c>
      <c r="B50" s="93">
        <v>0.873</v>
      </c>
      <c r="C50" s="94">
        <v>0.77</v>
      </c>
      <c r="D50" s="94">
        <f t="shared" si="0"/>
        <v>0.67220999999999997</v>
      </c>
    </row>
    <row r="51" spans="1:4" x14ac:dyDescent="0.3">
      <c r="A51" s="92" t="s">
        <v>180</v>
      </c>
      <c r="B51" s="93">
        <v>1</v>
      </c>
      <c r="C51" s="94">
        <v>0.73</v>
      </c>
      <c r="D51" s="94">
        <f t="shared" si="0"/>
        <v>0.73</v>
      </c>
    </row>
    <row r="52" spans="1:4" x14ac:dyDescent="0.3">
      <c r="A52" s="92" t="s">
        <v>190</v>
      </c>
      <c r="B52" s="93">
        <v>0.94299999999999995</v>
      </c>
      <c r="C52" s="94">
        <v>0.63</v>
      </c>
      <c r="D52" s="94">
        <f t="shared" si="0"/>
        <v>0.59409000000000001</v>
      </c>
    </row>
    <row r="53" spans="1:4" x14ac:dyDescent="0.3">
      <c r="A53" s="92" t="s">
        <v>191</v>
      </c>
      <c r="B53" s="93">
        <v>0.97799999999999998</v>
      </c>
      <c r="C53" s="94">
        <v>0.7</v>
      </c>
      <c r="D53" s="94">
        <f t="shared" si="0"/>
        <v>0.68459999999999999</v>
      </c>
    </row>
    <row r="54" spans="1:4" x14ac:dyDescent="0.3">
      <c r="A54" s="92" t="s">
        <v>192</v>
      </c>
      <c r="B54" s="93">
        <v>0.95899999999999996</v>
      </c>
      <c r="C54" s="94">
        <v>0.53</v>
      </c>
      <c r="D54" s="94">
        <f t="shared" si="0"/>
        <v>0.50827</v>
      </c>
    </row>
    <row r="55" spans="1:4" x14ac:dyDescent="0.3">
      <c r="A55" s="92" t="s">
        <v>193</v>
      </c>
      <c r="B55" s="93">
        <v>1</v>
      </c>
      <c r="C55" s="94">
        <v>0.49</v>
      </c>
      <c r="D55" s="94">
        <f t="shared" si="0"/>
        <v>0.49</v>
      </c>
    </row>
    <row r="56" spans="1:4" x14ac:dyDescent="0.3">
      <c r="A56" s="92" t="s">
        <v>194</v>
      </c>
      <c r="B56" s="93">
        <v>0.97599999999999998</v>
      </c>
      <c r="C56" s="94">
        <v>0.78</v>
      </c>
      <c r="D56" s="94">
        <f t="shared" si="0"/>
        <v>0.76127999999999996</v>
      </c>
    </row>
    <row r="57" spans="1:4" x14ac:dyDescent="0.3">
      <c r="A57" s="92" t="s">
        <v>135</v>
      </c>
      <c r="B57" s="93">
        <v>0.94</v>
      </c>
      <c r="C57" s="94">
        <v>0.67</v>
      </c>
      <c r="D57" s="94">
        <f t="shared" si="0"/>
        <v>0.62980000000000003</v>
      </c>
    </row>
    <row r="58" spans="1:4" x14ac:dyDescent="0.3">
      <c r="A58" s="92" t="s">
        <v>195</v>
      </c>
      <c r="B58" s="93">
        <v>0.98799999999999999</v>
      </c>
      <c r="C58" s="94">
        <v>0.48</v>
      </c>
      <c r="D58" s="94">
        <f t="shared" si="0"/>
        <v>0.47423999999999999</v>
      </c>
    </row>
    <row r="59" spans="1:4" x14ac:dyDescent="0.3">
      <c r="A59" s="92" t="s">
        <v>181</v>
      </c>
      <c r="B59" s="93">
        <v>0.998</v>
      </c>
      <c r="C59" s="94">
        <v>1.24</v>
      </c>
      <c r="D59" s="94">
        <f t="shared" si="0"/>
        <v>1.23752</v>
      </c>
    </row>
    <row r="60" spans="1:4" x14ac:dyDescent="0.3">
      <c r="A60" s="92" t="s">
        <v>196</v>
      </c>
      <c r="B60" s="93">
        <v>0.92700000000000005</v>
      </c>
      <c r="C60" s="94">
        <v>0.81</v>
      </c>
      <c r="D60" s="94">
        <f t="shared" si="0"/>
        <v>0.75087000000000004</v>
      </c>
    </row>
    <row r="61" spans="1:4" x14ac:dyDescent="0.3">
      <c r="A61" s="92" t="s">
        <v>182</v>
      </c>
      <c r="B61" s="93">
        <v>0.995</v>
      </c>
      <c r="C61" s="94">
        <v>0.78</v>
      </c>
      <c r="D61" s="94">
        <f t="shared" si="0"/>
        <v>0.77610000000000001</v>
      </c>
    </row>
    <row r="62" spans="1:4" x14ac:dyDescent="0.3">
      <c r="A62" s="92" t="s">
        <v>197</v>
      </c>
      <c r="B62" s="93">
        <v>0.95299999999999996</v>
      </c>
      <c r="C62" s="94">
        <v>0.87</v>
      </c>
      <c r="D62" s="94">
        <f t="shared" si="0"/>
        <v>0.82911000000000001</v>
      </c>
    </row>
    <row r="63" spans="1:4" x14ac:dyDescent="0.3">
      <c r="A63" s="92" t="s">
        <v>198</v>
      </c>
      <c r="B63" s="93">
        <v>1</v>
      </c>
      <c r="C63" s="94">
        <v>0.49</v>
      </c>
      <c r="D63" s="94">
        <f t="shared" si="0"/>
        <v>0.49</v>
      </c>
    </row>
    <row r="64" spans="1:4" x14ac:dyDescent="0.3">
      <c r="A64" s="92" t="s">
        <v>199</v>
      </c>
      <c r="B64" s="93">
        <v>1</v>
      </c>
      <c r="C64" s="94">
        <v>0.42</v>
      </c>
      <c r="D64" s="94">
        <f t="shared" si="0"/>
        <v>0.42</v>
      </c>
    </row>
    <row r="65" spans="1:4" x14ac:dyDescent="0.3">
      <c r="A65" s="92" t="s">
        <v>183</v>
      </c>
      <c r="B65" s="93">
        <v>1</v>
      </c>
      <c r="C65" s="94">
        <v>1.1299999999999999</v>
      </c>
      <c r="D65" s="94">
        <f t="shared" si="0"/>
        <v>1.1299999999999999</v>
      </c>
    </row>
    <row r="66" spans="1:4" x14ac:dyDescent="0.3">
      <c r="A66" s="92" t="s">
        <v>200</v>
      </c>
      <c r="B66" s="93">
        <v>0.99199999999999999</v>
      </c>
      <c r="C66" s="94">
        <v>0.85</v>
      </c>
      <c r="D66" s="94">
        <f t="shared" si="0"/>
        <v>0.84319999999999995</v>
      </c>
    </row>
    <row r="67" spans="1:4" x14ac:dyDescent="0.3">
      <c r="A67" s="92" t="s">
        <v>201</v>
      </c>
      <c r="B67" s="93">
        <v>0.97799999999999998</v>
      </c>
      <c r="C67" s="94">
        <v>0.84</v>
      </c>
      <c r="D67" s="94">
        <f t="shared" si="0"/>
        <v>0.82151999999999992</v>
      </c>
    </row>
    <row r="68" spans="1:4" x14ac:dyDescent="0.3">
      <c r="A68" s="92" t="s">
        <v>202</v>
      </c>
      <c r="B68" s="93">
        <v>0.95699999999999996</v>
      </c>
      <c r="C68" s="94">
        <v>0.55000000000000004</v>
      </c>
      <c r="D68" s="94">
        <f t="shared" ref="D68:D131" si="1">C68*B68</f>
        <v>0.52634999999999998</v>
      </c>
    </row>
    <row r="69" spans="1:4" x14ac:dyDescent="0.3">
      <c r="A69" s="92" t="s">
        <v>203</v>
      </c>
      <c r="B69" s="93">
        <v>0.92800000000000005</v>
      </c>
      <c r="C69" s="94">
        <v>0.68</v>
      </c>
      <c r="D69" s="94">
        <f t="shared" si="1"/>
        <v>0.63104000000000005</v>
      </c>
    </row>
    <row r="70" spans="1:4" x14ac:dyDescent="0.3">
      <c r="A70" s="92" t="s">
        <v>204</v>
      </c>
      <c r="B70" s="93">
        <v>0.97</v>
      </c>
      <c r="C70" s="94">
        <v>0.92</v>
      </c>
      <c r="D70" s="94">
        <f t="shared" si="1"/>
        <v>0.89239999999999997</v>
      </c>
    </row>
    <row r="71" spans="1:4" x14ac:dyDescent="0.3">
      <c r="A71" s="92" t="s">
        <v>205</v>
      </c>
      <c r="B71" s="93">
        <v>1</v>
      </c>
      <c r="C71" s="94">
        <v>0.54</v>
      </c>
      <c r="D71" s="94">
        <f t="shared" si="1"/>
        <v>0.54</v>
      </c>
    </row>
    <row r="72" spans="1:4" x14ac:dyDescent="0.3">
      <c r="A72" s="92" t="s">
        <v>206</v>
      </c>
      <c r="B72" s="93">
        <v>0.97799999999999998</v>
      </c>
      <c r="C72" s="94">
        <v>0.62</v>
      </c>
      <c r="D72" s="94">
        <f t="shared" si="1"/>
        <v>0.60636000000000001</v>
      </c>
    </row>
    <row r="73" spans="1:4" x14ac:dyDescent="0.3">
      <c r="A73" s="92" t="s">
        <v>184</v>
      </c>
      <c r="B73" s="93">
        <v>0.97499999999999998</v>
      </c>
      <c r="C73" s="94">
        <v>1.0900000000000001</v>
      </c>
      <c r="D73" s="94">
        <f t="shared" si="1"/>
        <v>1.0627500000000001</v>
      </c>
    </row>
    <row r="74" spans="1:4" x14ac:dyDescent="0.3">
      <c r="A74" s="92" t="s">
        <v>207</v>
      </c>
      <c r="B74" s="93">
        <v>0.96399999999999997</v>
      </c>
      <c r="C74" s="94">
        <v>1.1499999999999999</v>
      </c>
      <c r="D74" s="94">
        <f t="shared" si="1"/>
        <v>1.1085999999999998</v>
      </c>
    </row>
    <row r="75" spans="1:4" x14ac:dyDescent="0.3">
      <c r="A75" s="92" t="s">
        <v>208</v>
      </c>
      <c r="B75" s="93">
        <v>1</v>
      </c>
      <c r="C75" s="94">
        <v>0.72</v>
      </c>
      <c r="D75" s="94">
        <f t="shared" si="1"/>
        <v>0.72</v>
      </c>
    </row>
    <row r="76" spans="1:4" x14ac:dyDescent="0.3">
      <c r="A76" s="92" t="s">
        <v>209</v>
      </c>
      <c r="B76" s="93">
        <v>0.98199999999999998</v>
      </c>
      <c r="C76" s="94">
        <v>0.38</v>
      </c>
      <c r="D76" s="94">
        <f t="shared" si="1"/>
        <v>0.37315999999999999</v>
      </c>
    </row>
    <row r="77" spans="1:4" x14ac:dyDescent="0.3">
      <c r="A77" s="92" t="s">
        <v>185</v>
      </c>
      <c r="B77" s="93">
        <v>0.96299999999999997</v>
      </c>
      <c r="C77" s="94">
        <v>1.1100000000000001</v>
      </c>
      <c r="D77" s="94">
        <f t="shared" si="1"/>
        <v>1.0689300000000002</v>
      </c>
    </row>
    <row r="78" spans="1:4" x14ac:dyDescent="0.3">
      <c r="A78" s="92" t="s">
        <v>210</v>
      </c>
      <c r="B78" s="93">
        <v>1</v>
      </c>
      <c r="C78" s="94">
        <v>0.68</v>
      </c>
      <c r="D78" s="94">
        <f t="shared" si="1"/>
        <v>0.68</v>
      </c>
    </row>
    <row r="79" spans="1:4" x14ac:dyDescent="0.3">
      <c r="A79" s="92" t="s">
        <v>249</v>
      </c>
      <c r="B79" s="93">
        <v>0.95899999999999996</v>
      </c>
      <c r="C79" s="94">
        <v>1.22</v>
      </c>
      <c r="D79" s="94">
        <f t="shared" si="1"/>
        <v>1.16998</v>
      </c>
    </row>
    <row r="80" spans="1:4" x14ac:dyDescent="0.3">
      <c r="A80" s="92" t="s">
        <v>250</v>
      </c>
      <c r="B80" s="93">
        <v>0.86899999999999999</v>
      </c>
      <c r="C80" s="94">
        <v>1.55</v>
      </c>
      <c r="D80" s="94">
        <f t="shared" si="1"/>
        <v>1.3469500000000001</v>
      </c>
    </row>
    <row r="81" spans="1:4" x14ac:dyDescent="0.3">
      <c r="A81" s="92" t="s">
        <v>251</v>
      </c>
      <c r="B81" s="93">
        <v>1</v>
      </c>
      <c r="C81" s="94">
        <v>1.06</v>
      </c>
      <c r="D81" s="94">
        <f t="shared" si="1"/>
        <v>1.06</v>
      </c>
    </row>
    <row r="82" spans="1:4" x14ac:dyDescent="0.3">
      <c r="A82" s="92" t="s">
        <v>211</v>
      </c>
      <c r="B82" s="93">
        <v>0.99199999999999999</v>
      </c>
      <c r="C82" s="94">
        <v>0.54</v>
      </c>
      <c r="D82" s="94">
        <f t="shared" si="1"/>
        <v>0.53568000000000005</v>
      </c>
    </row>
    <row r="83" spans="1:4" x14ac:dyDescent="0.3">
      <c r="A83" s="92" t="s">
        <v>134</v>
      </c>
      <c r="B83" s="93">
        <v>1</v>
      </c>
      <c r="C83" s="94">
        <v>0.42</v>
      </c>
      <c r="D83" s="94">
        <f t="shared" si="1"/>
        <v>0.42</v>
      </c>
    </row>
    <row r="84" spans="1:4" x14ac:dyDescent="0.3">
      <c r="A84" s="92" t="s">
        <v>212</v>
      </c>
      <c r="B84" s="93">
        <v>0.98299999999999998</v>
      </c>
      <c r="C84" s="94">
        <v>0.53</v>
      </c>
      <c r="D84" s="94">
        <f t="shared" si="1"/>
        <v>0.52099000000000006</v>
      </c>
    </row>
    <row r="85" spans="1:4" x14ac:dyDescent="0.3">
      <c r="A85" s="92" t="s">
        <v>213</v>
      </c>
      <c r="B85" s="93">
        <v>0.95299999999999996</v>
      </c>
      <c r="C85" s="94">
        <v>0.89</v>
      </c>
      <c r="D85" s="94">
        <f t="shared" si="1"/>
        <v>0.84816999999999998</v>
      </c>
    </row>
    <row r="86" spans="1:4" x14ac:dyDescent="0.3">
      <c r="A86" s="92" t="s">
        <v>214</v>
      </c>
      <c r="B86" s="93">
        <v>1</v>
      </c>
      <c r="C86" s="94">
        <v>0.72</v>
      </c>
      <c r="D86" s="94">
        <f t="shared" si="1"/>
        <v>0.72</v>
      </c>
    </row>
    <row r="87" spans="1:4" x14ac:dyDescent="0.3">
      <c r="A87" s="92" t="s">
        <v>215</v>
      </c>
      <c r="B87" s="93">
        <v>0.97299999999999998</v>
      </c>
      <c r="C87" s="94">
        <v>0.83</v>
      </c>
      <c r="D87" s="94">
        <f t="shared" si="1"/>
        <v>0.80758999999999992</v>
      </c>
    </row>
    <row r="88" spans="1:4" x14ac:dyDescent="0.3">
      <c r="A88" s="92" t="s">
        <v>252</v>
      </c>
      <c r="B88" s="93">
        <v>0.97</v>
      </c>
      <c r="C88" s="94">
        <v>1.22</v>
      </c>
      <c r="D88" s="94">
        <f t="shared" si="1"/>
        <v>1.1834</v>
      </c>
    </row>
    <row r="89" spans="1:4" x14ac:dyDescent="0.3">
      <c r="A89" s="92" t="s">
        <v>253</v>
      </c>
      <c r="B89" s="93">
        <v>0.98399999999999999</v>
      </c>
      <c r="C89" s="94">
        <v>1.1499999999999999</v>
      </c>
      <c r="D89" s="94">
        <f t="shared" si="1"/>
        <v>1.1315999999999999</v>
      </c>
    </row>
    <row r="90" spans="1:4" x14ac:dyDescent="0.3">
      <c r="A90" s="92" t="s">
        <v>216</v>
      </c>
      <c r="B90" s="93">
        <v>0.95199999999999996</v>
      </c>
      <c r="C90" s="94">
        <v>0.83</v>
      </c>
      <c r="D90" s="94">
        <f t="shared" si="1"/>
        <v>0.79015999999999997</v>
      </c>
    </row>
    <row r="91" spans="1:4" x14ac:dyDescent="0.3">
      <c r="A91" s="92" t="s">
        <v>217</v>
      </c>
      <c r="B91" s="93">
        <v>1</v>
      </c>
      <c r="C91" s="94">
        <v>0.49</v>
      </c>
      <c r="D91" s="94">
        <f t="shared" si="1"/>
        <v>0.49</v>
      </c>
    </row>
    <row r="92" spans="1:4" x14ac:dyDescent="0.3">
      <c r="A92" s="92" t="s">
        <v>254</v>
      </c>
      <c r="B92" s="93">
        <v>1</v>
      </c>
      <c r="C92" s="94">
        <v>0.9</v>
      </c>
      <c r="D92" s="94">
        <f t="shared" si="1"/>
        <v>0.9</v>
      </c>
    </row>
    <row r="93" spans="1:4" x14ac:dyDescent="0.3">
      <c r="A93" s="92" t="s">
        <v>218</v>
      </c>
      <c r="B93" s="93">
        <v>0.998</v>
      </c>
      <c r="C93" s="94">
        <v>0.47</v>
      </c>
      <c r="D93" s="94">
        <f t="shared" si="1"/>
        <v>0.46905999999999998</v>
      </c>
    </row>
    <row r="94" spans="1:4" x14ac:dyDescent="0.3">
      <c r="A94" s="92" t="s">
        <v>219</v>
      </c>
      <c r="B94" s="93">
        <v>0.96199999999999997</v>
      </c>
      <c r="C94" s="94">
        <v>0.8</v>
      </c>
      <c r="D94" s="94">
        <f t="shared" si="1"/>
        <v>0.76960000000000006</v>
      </c>
    </row>
    <row r="95" spans="1:4" x14ac:dyDescent="0.3">
      <c r="A95" s="92" t="s">
        <v>220</v>
      </c>
      <c r="B95" s="93">
        <v>0.96399999999999997</v>
      </c>
      <c r="C95" s="94">
        <v>0.66</v>
      </c>
      <c r="D95" s="94">
        <f t="shared" si="1"/>
        <v>0.63624000000000003</v>
      </c>
    </row>
    <row r="96" spans="1:4" x14ac:dyDescent="0.3">
      <c r="A96" s="92" t="s">
        <v>221</v>
      </c>
      <c r="B96" s="93">
        <v>0.95899999999999996</v>
      </c>
      <c r="C96" s="94">
        <v>0.56999999999999995</v>
      </c>
      <c r="D96" s="94">
        <f t="shared" si="1"/>
        <v>0.54662999999999995</v>
      </c>
    </row>
    <row r="97" spans="1:4" x14ac:dyDescent="0.3">
      <c r="A97" s="92" t="s">
        <v>255</v>
      </c>
      <c r="B97" s="93">
        <v>1</v>
      </c>
      <c r="C97" s="94">
        <v>1.35</v>
      </c>
      <c r="D97" s="94">
        <f t="shared" si="1"/>
        <v>1.35</v>
      </c>
    </row>
    <row r="98" spans="1:4" x14ac:dyDescent="0.3">
      <c r="A98" s="92" t="s">
        <v>222</v>
      </c>
      <c r="B98" s="93">
        <v>1</v>
      </c>
      <c r="C98" s="94">
        <v>0.59</v>
      </c>
      <c r="D98" s="94">
        <f t="shared" si="1"/>
        <v>0.59</v>
      </c>
    </row>
    <row r="99" spans="1:4" x14ac:dyDescent="0.3">
      <c r="A99" s="92" t="s">
        <v>256</v>
      </c>
      <c r="B99" s="93">
        <v>1</v>
      </c>
      <c r="C99" s="94">
        <v>1.07</v>
      </c>
      <c r="D99" s="94">
        <f t="shared" si="1"/>
        <v>1.07</v>
      </c>
    </row>
    <row r="100" spans="1:4" x14ac:dyDescent="0.3">
      <c r="A100" s="92" t="s">
        <v>257</v>
      </c>
      <c r="B100" s="93">
        <v>0.99399999999999999</v>
      </c>
      <c r="C100" s="94">
        <v>1.3</v>
      </c>
      <c r="D100" s="94">
        <f t="shared" si="1"/>
        <v>1.2922</v>
      </c>
    </row>
    <row r="101" spans="1:4" x14ac:dyDescent="0.3">
      <c r="A101" s="92" t="s">
        <v>223</v>
      </c>
      <c r="B101" s="93">
        <v>0.97799999999999998</v>
      </c>
      <c r="C101" s="94">
        <v>0.9</v>
      </c>
      <c r="D101" s="94">
        <f t="shared" si="1"/>
        <v>0.88019999999999998</v>
      </c>
    </row>
    <row r="102" spans="1:4" x14ac:dyDescent="0.3">
      <c r="A102" s="92" t="s">
        <v>224</v>
      </c>
      <c r="B102" s="93">
        <v>0.995</v>
      </c>
      <c r="C102" s="94">
        <v>0.51</v>
      </c>
      <c r="D102" s="94">
        <f t="shared" si="1"/>
        <v>0.50744999999999996</v>
      </c>
    </row>
    <row r="103" spans="1:4" x14ac:dyDescent="0.3">
      <c r="A103" s="92" t="s">
        <v>225</v>
      </c>
      <c r="B103" s="93">
        <v>1</v>
      </c>
      <c r="C103" s="94">
        <v>0.82</v>
      </c>
      <c r="D103" s="94">
        <f t="shared" si="1"/>
        <v>0.82</v>
      </c>
    </row>
    <row r="104" spans="1:4" x14ac:dyDescent="0.3">
      <c r="A104" s="92" t="s">
        <v>226</v>
      </c>
      <c r="B104" s="93">
        <v>0.94299999999999995</v>
      </c>
      <c r="C104" s="94">
        <v>1.1200000000000001</v>
      </c>
      <c r="D104" s="94">
        <f t="shared" si="1"/>
        <v>1.05616</v>
      </c>
    </row>
    <row r="105" spans="1:4" x14ac:dyDescent="0.3">
      <c r="A105" s="92" t="s">
        <v>227</v>
      </c>
      <c r="B105" s="93">
        <v>1</v>
      </c>
      <c r="C105" s="94">
        <v>0.64</v>
      </c>
      <c r="D105" s="94">
        <f t="shared" si="1"/>
        <v>0.64</v>
      </c>
    </row>
    <row r="106" spans="1:4" x14ac:dyDescent="0.3">
      <c r="A106" s="92" t="s">
        <v>258</v>
      </c>
      <c r="B106" s="93">
        <v>0.98199999999999998</v>
      </c>
      <c r="C106" s="94">
        <v>0.76</v>
      </c>
      <c r="D106" s="94">
        <f t="shared" si="1"/>
        <v>0.74631999999999998</v>
      </c>
    </row>
    <row r="107" spans="1:4" x14ac:dyDescent="0.3">
      <c r="A107" s="92" t="s">
        <v>228</v>
      </c>
      <c r="B107" s="93">
        <v>1</v>
      </c>
      <c r="C107" s="94">
        <v>0.7</v>
      </c>
      <c r="D107" s="94">
        <f t="shared" si="1"/>
        <v>0.7</v>
      </c>
    </row>
    <row r="108" spans="1:4" x14ac:dyDescent="0.3">
      <c r="A108" s="92" t="s">
        <v>229</v>
      </c>
      <c r="B108" s="93">
        <v>0.91700000000000004</v>
      </c>
      <c r="C108" s="94">
        <v>1.2</v>
      </c>
      <c r="D108" s="94">
        <f t="shared" si="1"/>
        <v>1.1004</v>
      </c>
    </row>
    <row r="109" spans="1:4" x14ac:dyDescent="0.3">
      <c r="A109" s="92" t="s">
        <v>229</v>
      </c>
      <c r="B109" s="93">
        <v>0.996</v>
      </c>
      <c r="C109" s="94">
        <v>0.7</v>
      </c>
      <c r="D109" s="94">
        <f t="shared" si="1"/>
        <v>0.69719999999999993</v>
      </c>
    </row>
    <row r="110" spans="1:4" x14ac:dyDescent="0.3">
      <c r="A110" s="92" t="s">
        <v>230</v>
      </c>
      <c r="B110" s="93">
        <v>0.94699999999999995</v>
      </c>
      <c r="C110" s="94">
        <v>1.22</v>
      </c>
      <c r="D110" s="94">
        <f t="shared" si="1"/>
        <v>1.1553399999999998</v>
      </c>
    </row>
    <row r="111" spans="1:4" x14ac:dyDescent="0.3">
      <c r="A111" s="92" t="s">
        <v>230</v>
      </c>
      <c r="B111" s="93">
        <v>0.94</v>
      </c>
      <c r="C111" s="94">
        <v>1.0900000000000001</v>
      </c>
      <c r="D111" s="94">
        <f t="shared" si="1"/>
        <v>1.0246</v>
      </c>
    </row>
    <row r="112" spans="1:4" x14ac:dyDescent="0.3">
      <c r="A112" s="92" t="s">
        <v>231</v>
      </c>
      <c r="B112" s="93">
        <v>0.97299999999999998</v>
      </c>
      <c r="C112" s="94">
        <v>0.74</v>
      </c>
      <c r="D112" s="94">
        <f t="shared" si="1"/>
        <v>0.72001999999999999</v>
      </c>
    </row>
    <row r="113" spans="1:4" x14ac:dyDescent="0.3">
      <c r="A113" s="92" t="s">
        <v>232</v>
      </c>
      <c r="B113" s="93">
        <v>0.90100000000000002</v>
      </c>
      <c r="C113" s="94">
        <v>0.7</v>
      </c>
      <c r="D113" s="94">
        <f t="shared" si="1"/>
        <v>0.63069999999999993</v>
      </c>
    </row>
    <row r="114" spans="1:4" x14ac:dyDescent="0.3">
      <c r="A114" s="92" t="s">
        <v>233</v>
      </c>
      <c r="B114" s="93">
        <v>0.91600000000000004</v>
      </c>
      <c r="C114" s="94">
        <v>0.63</v>
      </c>
      <c r="D114" s="94">
        <f t="shared" si="1"/>
        <v>0.57708000000000004</v>
      </c>
    </row>
    <row r="115" spans="1:4" x14ac:dyDescent="0.3">
      <c r="A115" s="92" t="s">
        <v>259</v>
      </c>
      <c r="B115" s="93">
        <v>0.94199999999999995</v>
      </c>
      <c r="C115" s="94">
        <v>1.18</v>
      </c>
      <c r="D115" s="94">
        <f t="shared" si="1"/>
        <v>1.1115599999999999</v>
      </c>
    </row>
    <row r="116" spans="1:4" x14ac:dyDescent="0.3">
      <c r="A116" s="92" t="s">
        <v>234</v>
      </c>
      <c r="B116" s="93">
        <v>0.98</v>
      </c>
      <c r="C116" s="94">
        <v>0.74</v>
      </c>
      <c r="D116" s="94">
        <f t="shared" si="1"/>
        <v>0.72519999999999996</v>
      </c>
    </row>
    <row r="117" spans="1:4" x14ac:dyDescent="0.3">
      <c r="A117" s="92" t="s">
        <v>235</v>
      </c>
      <c r="B117" s="93">
        <v>1</v>
      </c>
      <c r="C117" s="94">
        <v>0.6</v>
      </c>
      <c r="D117" s="94">
        <f t="shared" si="1"/>
        <v>0.6</v>
      </c>
    </row>
    <row r="118" spans="1:4" x14ac:dyDescent="0.3">
      <c r="A118" s="92" t="s">
        <v>236</v>
      </c>
      <c r="B118" s="93">
        <v>0.95</v>
      </c>
      <c r="C118" s="94">
        <v>0.74</v>
      </c>
      <c r="D118" s="94">
        <f t="shared" si="1"/>
        <v>0.70299999999999996</v>
      </c>
    </row>
    <row r="119" spans="1:4" x14ac:dyDescent="0.3">
      <c r="A119" s="92" t="s">
        <v>237</v>
      </c>
      <c r="B119" s="93">
        <v>0.98299999999999998</v>
      </c>
      <c r="C119" s="94">
        <v>0.82</v>
      </c>
      <c r="D119" s="94">
        <f t="shared" si="1"/>
        <v>0.80605999999999989</v>
      </c>
    </row>
    <row r="120" spans="1:4" x14ac:dyDescent="0.3">
      <c r="A120" s="92" t="s">
        <v>238</v>
      </c>
      <c r="B120" s="93">
        <v>0.9</v>
      </c>
      <c r="C120" s="94">
        <v>0.86</v>
      </c>
      <c r="D120" s="94">
        <f t="shared" si="1"/>
        <v>0.77400000000000002</v>
      </c>
    </row>
    <row r="121" spans="1:4" x14ac:dyDescent="0.3">
      <c r="A121" s="92" t="s">
        <v>239</v>
      </c>
      <c r="B121" s="93">
        <v>0.91900000000000004</v>
      </c>
      <c r="C121" s="94">
        <v>0.99</v>
      </c>
      <c r="D121" s="94">
        <f t="shared" si="1"/>
        <v>0.90981000000000001</v>
      </c>
    </row>
    <row r="122" spans="1:4" x14ac:dyDescent="0.3">
      <c r="A122" s="92" t="s">
        <v>260</v>
      </c>
      <c r="B122" s="93">
        <v>0.99299999999999999</v>
      </c>
      <c r="C122" s="94">
        <v>0.95</v>
      </c>
      <c r="D122" s="94">
        <f t="shared" si="1"/>
        <v>0.94334999999999991</v>
      </c>
    </row>
    <row r="123" spans="1:4" x14ac:dyDescent="0.3">
      <c r="A123" s="92" t="s">
        <v>261</v>
      </c>
      <c r="B123" s="93">
        <v>0.97299999999999998</v>
      </c>
      <c r="C123" s="94">
        <v>1.03</v>
      </c>
      <c r="D123" s="94">
        <f t="shared" si="1"/>
        <v>1.0021899999999999</v>
      </c>
    </row>
    <row r="124" spans="1:4" x14ac:dyDescent="0.3">
      <c r="A124" s="92" t="s">
        <v>240</v>
      </c>
      <c r="B124" s="93">
        <v>1</v>
      </c>
      <c r="C124" s="94">
        <v>0.71</v>
      </c>
      <c r="D124" s="94">
        <f t="shared" si="1"/>
        <v>0.71</v>
      </c>
    </row>
    <row r="125" spans="1:4" x14ac:dyDescent="0.3">
      <c r="A125" s="92" t="s">
        <v>241</v>
      </c>
      <c r="B125" s="93">
        <v>0.98199999999999998</v>
      </c>
      <c r="C125" s="94">
        <v>0.57999999999999996</v>
      </c>
      <c r="D125" s="94">
        <f t="shared" si="1"/>
        <v>0.56955999999999996</v>
      </c>
    </row>
    <row r="126" spans="1:4" x14ac:dyDescent="0.3">
      <c r="A126" s="92" t="s">
        <v>242</v>
      </c>
      <c r="B126" s="93">
        <v>0.99299999999999999</v>
      </c>
      <c r="C126" s="94">
        <v>0.55000000000000004</v>
      </c>
      <c r="D126" s="94">
        <f t="shared" si="1"/>
        <v>0.54615000000000002</v>
      </c>
    </row>
    <row r="127" spans="1:4" x14ac:dyDescent="0.3">
      <c r="A127" s="92" t="s">
        <v>262</v>
      </c>
      <c r="B127" s="93">
        <v>0.90500000000000003</v>
      </c>
      <c r="C127" s="94">
        <v>0.99</v>
      </c>
      <c r="D127" s="94">
        <f t="shared" si="1"/>
        <v>0.89595000000000002</v>
      </c>
    </row>
    <row r="128" spans="1:4" x14ac:dyDescent="0.3">
      <c r="A128" s="92" t="s">
        <v>243</v>
      </c>
      <c r="B128" s="93">
        <v>0.94199999999999995</v>
      </c>
      <c r="C128" s="94">
        <v>0.62</v>
      </c>
      <c r="D128" s="94">
        <f t="shared" si="1"/>
        <v>0.58404</v>
      </c>
    </row>
    <row r="129" spans="1:4" x14ac:dyDescent="0.3">
      <c r="A129" s="92" t="s">
        <v>244</v>
      </c>
      <c r="B129" s="93">
        <v>0.92200000000000004</v>
      </c>
      <c r="C129" s="94">
        <v>0.63</v>
      </c>
      <c r="D129" s="94">
        <f t="shared" si="1"/>
        <v>0.58086000000000004</v>
      </c>
    </row>
    <row r="130" spans="1:4" x14ac:dyDescent="0.3">
      <c r="A130" s="92" t="s">
        <v>263</v>
      </c>
      <c r="B130" s="93">
        <v>0.96899999999999997</v>
      </c>
      <c r="C130" s="94">
        <v>0.8</v>
      </c>
      <c r="D130" s="94">
        <f t="shared" si="1"/>
        <v>0.7752</v>
      </c>
    </row>
    <row r="131" spans="1:4" x14ac:dyDescent="0.3">
      <c r="A131" s="92" t="s">
        <v>245</v>
      </c>
      <c r="B131" s="93">
        <v>1</v>
      </c>
      <c r="C131" s="94">
        <v>0.52</v>
      </c>
      <c r="D131" s="94">
        <f t="shared" si="1"/>
        <v>0.52</v>
      </c>
    </row>
    <row r="132" spans="1:4" x14ac:dyDescent="0.3">
      <c r="A132" s="92" t="s">
        <v>264</v>
      </c>
      <c r="B132" s="93">
        <v>0.96199999999999997</v>
      </c>
      <c r="C132" s="94">
        <v>0.56999999999999995</v>
      </c>
      <c r="D132" s="94">
        <f t="shared" ref="D132:D136" si="2">C132*B132</f>
        <v>0.54833999999999994</v>
      </c>
    </row>
    <row r="133" spans="1:4" x14ac:dyDescent="0.3">
      <c r="A133" s="92" t="s">
        <v>265</v>
      </c>
      <c r="B133" s="93">
        <v>0.95099999999999996</v>
      </c>
      <c r="C133" s="94">
        <v>0.91</v>
      </c>
      <c r="D133" s="94">
        <f t="shared" si="2"/>
        <v>0.86541000000000001</v>
      </c>
    </row>
    <row r="134" spans="1:4" x14ac:dyDescent="0.3">
      <c r="A134" s="92" t="s">
        <v>246</v>
      </c>
      <c r="B134" s="93">
        <v>0.94899999999999995</v>
      </c>
      <c r="C134" s="94">
        <v>0.6</v>
      </c>
      <c r="D134" s="94">
        <f t="shared" si="2"/>
        <v>0.56939999999999991</v>
      </c>
    </row>
    <row r="135" spans="1:4" x14ac:dyDescent="0.3">
      <c r="A135" s="92" t="s">
        <v>247</v>
      </c>
      <c r="B135" s="93">
        <v>0.99</v>
      </c>
      <c r="C135" s="94">
        <v>0.49</v>
      </c>
      <c r="D135" s="94">
        <f t="shared" si="2"/>
        <v>0.48509999999999998</v>
      </c>
    </row>
    <row r="136" spans="1:4" x14ac:dyDescent="0.3">
      <c r="A136" s="92" t="s">
        <v>248</v>
      </c>
      <c r="B136" s="93">
        <v>0.99</v>
      </c>
      <c r="C136" s="94">
        <v>0.75</v>
      </c>
      <c r="D136" s="94">
        <f t="shared" si="2"/>
        <v>0.74249999999999994</v>
      </c>
    </row>
  </sheetData>
  <sheetProtection algorithmName="SHA-512" hashValue="kE7uJqNWisq93IrMSZjXlx+HecJ832W2dT/3VutADveSuBTs99EuDBY7LQhj1WJAJxMig6mFZVrrSXlnBfvCiA==" saltValue="7paXmIDh++gpDDksPSEkEw==" spinCount="100000" sheet="1" objects="1" scenarios="1"/>
  <hyperlinks>
    <hyperlink ref="B1" r:id="rId1" xr:uid="{07AEFDA7-8875-4DB0-A8D5-6C7CCEE547B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BQ139"/>
  <sheetViews>
    <sheetView workbookViewId="0">
      <selection activeCell="D33" sqref="D33"/>
    </sheetView>
  </sheetViews>
  <sheetFormatPr defaultRowHeight="14.4" x14ac:dyDescent="0.3"/>
  <cols>
    <col min="1" max="1" width="19" bestFit="1" customWidth="1"/>
    <col min="2" max="3" width="20.33203125" style="3" customWidth="1"/>
    <col min="4" max="5" width="19.88671875" style="3" customWidth="1"/>
    <col min="6" max="6" width="16.6640625" style="3" bestFit="1" customWidth="1"/>
    <col min="7" max="7" width="9.109375" style="10" bestFit="1" customWidth="1"/>
    <col min="8" max="8" width="13.109375" style="10" bestFit="1" customWidth="1"/>
    <col min="9" max="9" width="13.109375" style="1" bestFit="1" customWidth="1"/>
    <col min="11" max="11" width="16.33203125" style="1" customWidth="1"/>
    <col min="12" max="12" width="16.6640625" style="1" bestFit="1" customWidth="1"/>
    <col min="13" max="13" width="12.109375" bestFit="1" customWidth="1"/>
    <col min="14" max="14" width="16.88671875" bestFit="1" customWidth="1"/>
  </cols>
  <sheetData>
    <row r="1" spans="1:69" s="29" customFormat="1" ht="15.6" thickBot="1" x14ac:dyDescent="0.3">
      <c r="A1" s="23" t="s">
        <v>279</v>
      </c>
      <c r="B1" s="27" t="s">
        <v>313</v>
      </c>
      <c r="C1" s="25"/>
      <c r="D1" s="26"/>
      <c r="E1" s="25"/>
      <c r="F1" s="24"/>
      <c r="G1" s="22"/>
      <c r="H1" s="22"/>
      <c r="I1" s="22"/>
      <c r="J1" s="22"/>
      <c r="K1" s="124"/>
      <c r="L1" s="124"/>
      <c r="M1" s="22"/>
      <c r="N1" s="22"/>
      <c r="O1" s="22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</row>
    <row r="2" spans="1:69" ht="78.599999999999994" thickBot="1" x14ac:dyDescent="0.35">
      <c r="B2" s="9" t="s">
        <v>0</v>
      </c>
      <c r="C2" s="9" t="s">
        <v>296</v>
      </c>
      <c r="D2" s="15" t="s">
        <v>294</v>
      </c>
      <c r="E2" s="15" t="s">
        <v>295</v>
      </c>
      <c r="F2" s="9" t="s">
        <v>2</v>
      </c>
      <c r="G2" s="11" t="s">
        <v>3</v>
      </c>
      <c r="H2" s="11" t="s">
        <v>4</v>
      </c>
      <c r="I2" s="9" t="s">
        <v>276</v>
      </c>
      <c r="K2" s="11" t="s">
        <v>350</v>
      </c>
      <c r="L2" s="11" t="s">
        <v>351</v>
      </c>
      <c r="M2" s="11" t="s">
        <v>352</v>
      </c>
    </row>
    <row r="3" spans="1:69" x14ac:dyDescent="0.3">
      <c r="A3" s="5" t="s">
        <v>5</v>
      </c>
      <c r="B3" s="16">
        <f>SUM(B4:B138)</f>
        <v>1170092111098.9373</v>
      </c>
      <c r="C3" s="16">
        <f>SUM(D4:D138)</f>
        <v>271432497952.66599</v>
      </c>
      <c r="D3" s="17"/>
      <c r="E3" s="17"/>
      <c r="F3" s="16">
        <f>SUM(F4:F138)</f>
        <v>100207273998.17998</v>
      </c>
      <c r="G3" s="18">
        <f>SUM(G4:G138)</f>
        <v>1239781.2999999996</v>
      </c>
      <c r="H3" s="18">
        <f>SUM(H4:H138)</f>
        <v>8382993</v>
      </c>
      <c r="I3" s="7"/>
    </row>
    <row r="4" spans="1:69" x14ac:dyDescent="0.3">
      <c r="A4" t="s">
        <v>6</v>
      </c>
      <c r="B4" s="2">
        <v>4012143667.4039736</v>
      </c>
      <c r="C4" s="2">
        <f>IFERROR(MIN(D4:E4),D4)</f>
        <v>645493528</v>
      </c>
      <c r="D4" s="19">
        <v>723999503.04480004</v>
      </c>
      <c r="E4" s="19">
        <v>645493528</v>
      </c>
      <c r="F4" s="2">
        <v>502574536.38</v>
      </c>
      <c r="G4" s="12">
        <v>5102.46</v>
      </c>
      <c r="H4" s="12">
        <v>33516</v>
      </c>
      <c r="I4" s="6">
        <f>MIN((1-0.55)*(0.666666*(0.5*(B4/G4)/($B$3/$G$3)+0.4*((C4/G4)/($C$3/$G$3))+0.1*((F4/G4)/($F$3/$G$3)))+0.3333333*(0.5*(B4/H4)/($B$3/$H$3)+0.4*((C4/H4)/($C$3/$H$3))+0.1*((F4/H4)/($F$3/$H$3)))),0.8)</f>
        <v>0.3496969891181414</v>
      </c>
      <c r="K4" s="3">
        <v>12579114</v>
      </c>
      <c r="L4" s="123">
        <v>1852487</v>
      </c>
      <c r="M4" s="121">
        <f>L4+K4</f>
        <v>14431601</v>
      </c>
    </row>
    <row r="5" spans="1:69" x14ac:dyDescent="0.3">
      <c r="A5" t="s">
        <v>7</v>
      </c>
      <c r="B5" s="2">
        <v>19166881073.970486</v>
      </c>
      <c r="C5" s="2">
        <f t="shared" ref="C5:C68" si="0">IFERROR(MIN(D5:E5),D5)</f>
        <v>5051376339.1620998</v>
      </c>
      <c r="D5" s="19">
        <v>5051376339.1620998</v>
      </c>
      <c r="E5" s="19" t="s">
        <v>287</v>
      </c>
      <c r="F5" s="2">
        <v>1329772736.6799998</v>
      </c>
      <c r="G5" s="12">
        <v>13282.19</v>
      </c>
      <c r="H5" s="12">
        <v>105051</v>
      </c>
      <c r="I5" s="6">
        <f t="shared" ref="I5:I68" si="1">MIN((1-0.55)*(0.666666*(0.5*(B5/G5)/($B$3/$G$3)+0.4*((C5/G5)/($C$3/$G$3))+0.1*((F5/G5)/($F$3/$G$3)))+0.3333333*(0.5*(B5/H5)/($B$3/$H$3)+0.4*((C5/H5)/($C$3/$H$3))+0.1*((F5/H5)/($F$3/$H$3)))),0.8)</f>
        <v>0.67798615564305087</v>
      </c>
      <c r="K5" s="3">
        <v>54018006</v>
      </c>
      <c r="L5" s="123">
        <v>1877535</v>
      </c>
      <c r="M5" s="121">
        <f t="shared" ref="M5:M68" si="2">L5+K5</f>
        <v>55895541</v>
      </c>
    </row>
    <row r="6" spans="1:69" x14ac:dyDescent="0.3">
      <c r="A6" t="s">
        <v>8</v>
      </c>
      <c r="B6" s="2">
        <v>1390193198.5934064</v>
      </c>
      <c r="C6" s="2">
        <f t="shared" si="0"/>
        <v>325700568.58289999</v>
      </c>
      <c r="D6" s="19">
        <v>325700568.58289999</v>
      </c>
      <c r="E6" s="19" t="s">
        <v>287</v>
      </c>
      <c r="F6" s="2">
        <v>76488688.870000005</v>
      </c>
      <c r="G6" s="12">
        <v>2175.5</v>
      </c>
      <c r="H6" s="12">
        <v>15515</v>
      </c>
      <c r="I6" s="6">
        <f t="shared" si="1"/>
        <v>0.28990373140255793</v>
      </c>
      <c r="K6" s="3">
        <v>3435654</v>
      </c>
      <c r="L6" s="1">
        <v>251435</v>
      </c>
      <c r="M6" s="121">
        <f t="shared" si="2"/>
        <v>3687089</v>
      </c>
    </row>
    <row r="7" spans="1:69" x14ac:dyDescent="0.3">
      <c r="A7" t="s">
        <v>9</v>
      </c>
      <c r="B7" s="2">
        <v>1341940045.9499416</v>
      </c>
      <c r="C7" s="2">
        <f t="shared" si="0"/>
        <v>278821859.79000002</v>
      </c>
      <c r="D7" s="19">
        <v>287614413.59100002</v>
      </c>
      <c r="E7" s="19">
        <v>278821859.79000002</v>
      </c>
      <c r="F7" s="2">
        <v>61389169.649999999</v>
      </c>
      <c r="G7" s="12">
        <v>1767.18</v>
      </c>
      <c r="H7" s="12">
        <v>12909</v>
      </c>
      <c r="I7" s="6">
        <f t="shared" si="1"/>
        <v>0.32191080445797338</v>
      </c>
      <c r="K7" s="3">
        <v>3725817</v>
      </c>
      <c r="L7" s="123">
        <v>277645</v>
      </c>
      <c r="M7" s="121">
        <f t="shared" si="2"/>
        <v>4003462</v>
      </c>
    </row>
    <row r="8" spans="1:69" x14ac:dyDescent="0.3">
      <c r="A8" t="s">
        <v>10</v>
      </c>
      <c r="B8" s="2">
        <v>2806913895.0628037</v>
      </c>
      <c r="C8" s="2">
        <f t="shared" si="0"/>
        <v>605771635.29100001</v>
      </c>
      <c r="D8" s="19">
        <v>605771635.29100001</v>
      </c>
      <c r="E8" s="19" t="s">
        <v>287</v>
      </c>
      <c r="F8" s="2">
        <v>233613015.50999999</v>
      </c>
      <c r="G8" s="12">
        <v>4003.74</v>
      </c>
      <c r="H8" s="12">
        <v>32028</v>
      </c>
      <c r="I8" s="6">
        <f t="shared" si="1"/>
        <v>0.30730261128260972</v>
      </c>
      <c r="K8" s="3">
        <v>8163900</v>
      </c>
      <c r="L8" s="123">
        <v>614850</v>
      </c>
      <c r="M8" s="121">
        <f t="shared" si="2"/>
        <v>8778750</v>
      </c>
    </row>
    <row r="9" spans="1:69" x14ac:dyDescent="0.3">
      <c r="A9" t="s">
        <v>11</v>
      </c>
      <c r="B9" s="2">
        <v>1451769667.4928823</v>
      </c>
      <c r="C9" s="2">
        <f t="shared" si="0"/>
        <v>300389174.06999999</v>
      </c>
      <c r="D9" s="19">
        <v>300389174.06999999</v>
      </c>
      <c r="E9" s="19" t="s">
        <v>287</v>
      </c>
      <c r="F9" s="2">
        <v>111243954.83</v>
      </c>
      <c r="G9" s="12">
        <v>2188.62</v>
      </c>
      <c r="H9" s="12">
        <v>15455</v>
      </c>
      <c r="I9" s="6">
        <f t="shared" si="1"/>
        <v>0.29504145817634775</v>
      </c>
      <c r="K9" s="3">
        <v>4199173</v>
      </c>
      <c r="L9" s="123">
        <v>343356</v>
      </c>
      <c r="M9" s="121">
        <f t="shared" si="2"/>
        <v>4542529</v>
      </c>
    </row>
    <row r="10" spans="1:69" x14ac:dyDescent="0.3">
      <c r="A10" t="s">
        <v>12</v>
      </c>
      <c r="B10" s="2">
        <v>75174841517.345078</v>
      </c>
      <c r="C10" s="2">
        <f t="shared" si="0"/>
        <v>13582549384.540001</v>
      </c>
      <c r="D10" s="19">
        <v>14020477518.7628</v>
      </c>
      <c r="E10" s="19">
        <v>13582549384.540001</v>
      </c>
      <c r="F10" s="2">
        <v>3179231834.8800001</v>
      </c>
      <c r="G10" s="13">
        <v>24209.87</v>
      </c>
      <c r="H10" s="13">
        <v>234678</v>
      </c>
      <c r="I10" s="6">
        <f t="shared" si="1"/>
        <v>0.8</v>
      </c>
      <c r="K10" s="3">
        <v>149156124</v>
      </c>
      <c r="L10" s="123">
        <v>5189026</v>
      </c>
      <c r="M10" s="121">
        <f t="shared" si="2"/>
        <v>154345150</v>
      </c>
      <c r="N10" s="127"/>
    </row>
    <row r="11" spans="1:69" x14ac:dyDescent="0.3">
      <c r="A11" t="s">
        <v>13</v>
      </c>
      <c r="B11" s="2">
        <v>8692275040.5000801</v>
      </c>
      <c r="C11" s="2">
        <v>1744534383.697</v>
      </c>
      <c r="D11" s="19">
        <v>1744534383.697</v>
      </c>
      <c r="E11" s="19" t="s">
        <v>287</v>
      </c>
      <c r="F11" s="2">
        <v>435582346.36000001</v>
      </c>
      <c r="G11" s="13">
        <v>10105.52</v>
      </c>
      <c r="H11" s="13">
        <v>74881</v>
      </c>
      <c r="I11" s="6">
        <f t="shared" si="1"/>
        <v>0.36017051058279198</v>
      </c>
      <c r="K11" s="3">
        <v>20610977</v>
      </c>
      <c r="L11" s="123">
        <v>1233604</v>
      </c>
      <c r="M11" s="121">
        <f t="shared" si="2"/>
        <v>21844581</v>
      </c>
    </row>
    <row r="12" spans="1:69" x14ac:dyDescent="0.3">
      <c r="A12" t="s">
        <v>14</v>
      </c>
      <c r="B12" s="2">
        <v>2448333187.6828942</v>
      </c>
      <c r="C12" s="2">
        <f t="shared" si="0"/>
        <v>103889648.01000001</v>
      </c>
      <c r="D12" s="19">
        <v>107856632.74339999</v>
      </c>
      <c r="E12" s="19">
        <v>103889648.01000001</v>
      </c>
      <c r="F12" s="2">
        <v>77422215.200000003</v>
      </c>
      <c r="G12" s="13">
        <v>542.46</v>
      </c>
      <c r="H12" s="13">
        <v>4727</v>
      </c>
      <c r="I12" s="6">
        <f t="shared" si="1"/>
        <v>0.8</v>
      </c>
      <c r="K12" s="3">
        <v>3634778</v>
      </c>
      <c r="L12" s="123">
        <v>105708</v>
      </c>
      <c r="M12" s="121">
        <f t="shared" si="2"/>
        <v>3740486</v>
      </c>
    </row>
    <row r="13" spans="1:69" x14ac:dyDescent="0.3">
      <c r="A13" t="s">
        <v>278</v>
      </c>
      <c r="B13" s="2">
        <v>9840655334.4935055</v>
      </c>
      <c r="C13" s="2">
        <f t="shared" si="0"/>
        <v>2113311071.9749999</v>
      </c>
      <c r="D13" s="19">
        <v>2113311071.9749999</v>
      </c>
      <c r="E13" s="19" t="s">
        <v>287</v>
      </c>
      <c r="F13" s="2">
        <v>482777476.19</v>
      </c>
      <c r="G13" s="13">
        <v>9609.5</v>
      </c>
      <c r="H13" s="13">
        <v>77575</v>
      </c>
      <c r="I13" s="6">
        <f t="shared" si="1"/>
        <v>0.42839535182687555</v>
      </c>
      <c r="K13" s="3">
        <v>17614570</v>
      </c>
      <c r="L13" s="123">
        <v>768709</v>
      </c>
      <c r="M13" s="121">
        <f t="shared" si="2"/>
        <v>18383279</v>
      </c>
    </row>
    <row r="14" spans="1:69" x14ac:dyDescent="0.3">
      <c r="A14" t="s">
        <v>15</v>
      </c>
      <c r="B14" s="1">
        <v>672296569.42880523</v>
      </c>
      <c r="C14" s="2">
        <f t="shared" si="0"/>
        <v>108601273</v>
      </c>
      <c r="D14" s="19">
        <v>115607285.661</v>
      </c>
      <c r="E14" s="19">
        <v>108601273</v>
      </c>
      <c r="F14" s="2">
        <v>20270739</v>
      </c>
      <c r="G14" s="13">
        <v>797.18</v>
      </c>
      <c r="H14" s="13">
        <v>6684</v>
      </c>
      <c r="I14" s="6">
        <f t="shared" si="1"/>
        <v>0.30610314509761571</v>
      </c>
      <c r="K14" s="3">
        <v>1508788</v>
      </c>
      <c r="L14" s="123">
        <v>57817</v>
      </c>
      <c r="M14" s="121">
        <f t="shared" si="2"/>
        <v>1566605</v>
      </c>
    </row>
    <row r="15" spans="1:69" x14ac:dyDescent="0.3">
      <c r="A15" t="s">
        <v>16</v>
      </c>
      <c r="B15" s="2">
        <v>4032528394.1390491</v>
      </c>
      <c r="C15" s="2">
        <f t="shared" si="0"/>
        <v>917707929.73000002</v>
      </c>
      <c r="D15" s="19">
        <v>917707929.73000002</v>
      </c>
      <c r="E15" s="19" t="s">
        <v>287</v>
      </c>
      <c r="F15" s="2">
        <v>212364970.66</v>
      </c>
      <c r="G15" s="13">
        <v>4665.01</v>
      </c>
      <c r="H15" s="13">
        <v>33486</v>
      </c>
      <c r="I15" s="6">
        <f t="shared" si="1"/>
        <v>0.38555599633248855</v>
      </c>
      <c r="K15" s="3">
        <v>10510401</v>
      </c>
      <c r="L15" s="123">
        <v>198754</v>
      </c>
      <c r="M15" s="121">
        <f t="shared" si="2"/>
        <v>10709155</v>
      </c>
    </row>
    <row r="16" spans="1:69" x14ac:dyDescent="0.3">
      <c r="A16" t="s">
        <v>17</v>
      </c>
      <c r="B16" s="2">
        <v>1814531068.7610474</v>
      </c>
      <c r="C16" s="2">
        <f t="shared" si="0"/>
        <v>234460295</v>
      </c>
      <c r="D16" s="19">
        <v>255014166.89899999</v>
      </c>
      <c r="E16" s="19">
        <v>234460295</v>
      </c>
      <c r="F16" s="2">
        <v>66583183.200000003</v>
      </c>
      <c r="G16" s="13">
        <v>1668.9</v>
      </c>
      <c r="H16" s="13">
        <v>16930</v>
      </c>
      <c r="I16" s="6">
        <f t="shared" si="1"/>
        <v>0.35280063380757432</v>
      </c>
      <c r="K16" s="3">
        <v>3283554</v>
      </c>
      <c r="L16" s="123">
        <v>511279</v>
      </c>
      <c r="M16" s="121">
        <f t="shared" si="2"/>
        <v>3794833</v>
      </c>
    </row>
    <row r="17" spans="1:13" x14ac:dyDescent="0.3">
      <c r="A17" t="s">
        <v>18</v>
      </c>
      <c r="B17" s="2">
        <v>2579513757.8121762</v>
      </c>
      <c r="C17" s="2">
        <f t="shared" si="0"/>
        <v>294218297.27700001</v>
      </c>
      <c r="D17" s="19">
        <v>294218297.27700001</v>
      </c>
      <c r="E17" s="19" t="s">
        <v>287</v>
      </c>
      <c r="F17" s="2">
        <v>141875222.57999998</v>
      </c>
      <c r="G17" s="13">
        <v>2888.83</v>
      </c>
      <c r="H17" s="13">
        <v>22983</v>
      </c>
      <c r="I17" s="6">
        <f t="shared" si="1"/>
        <v>0.30774320184182513</v>
      </c>
      <c r="K17" s="3">
        <v>6390042</v>
      </c>
      <c r="L17" s="123">
        <v>547879</v>
      </c>
      <c r="M17" s="121">
        <f t="shared" si="2"/>
        <v>6937921</v>
      </c>
    </row>
    <row r="18" spans="1:13" x14ac:dyDescent="0.3">
      <c r="A18" t="s">
        <v>19</v>
      </c>
      <c r="B18" s="2">
        <v>2062209218.5476191</v>
      </c>
      <c r="C18" s="2">
        <f t="shared" si="0"/>
        <v>242674591.13499999</v>
      </c>
      <c r="D18" s="19">
        <v>242674591.13499999</v>
      </c>
      <c r="E18" s="19" t="s">
        <v>287</v>
      </c>
      <c r="F18" s="2">
        <v>55434369.219999999</v>
      </c>
      <c r="G18" s="13">
        <v>1905.07</v>
      </c>
      <c r="H18" s="13">
        <v>16988</v>
      </c>
      <c r="I18" s="6">
        <f t="shared" si="1"/>
        <v>0.34845640353333535</v>
      </c>
      <c r="K18" s="3">
        <v>4824168</v>
      </c>
      <c r="L18" s="123">
        <v>588639</v>
      </c>
      <c r="M18" s="121">
        <f t="shared" si="2"/>
        <v>5412807</v>
      </c>
    </row>
    <row r="19" spans="1:13" x14ac:dyDescent="0.3">
      <c r="A19" t="s">
        <v>20</v>
      </c>
      <c r="B19" s="2">
        <v>4481965191.8131008</v>
      </c>
      <c r="C19" s="2">
        <f t="shared" si="0"/>
        <v>1098826029.687</v>
      </c>
      <c r="D19" s="19">
        <v>1098826029.687</v>
      </c>
      <c r="E19" s="19" t="s">
        <v>287</v>
      </c>
      <c r="F19" s="2">
        <v>462416719.18000001</v>
      </c>
      <c r="G19" s="13">
        <v>7598.82</v>
      </c>
      <c r="H19" s="13">
        <v>56167</v>
      </c>
      <c r="I19" s="6">
        <f t="shared" si="1"/>
        <v>0.28504898351677627</v>
      </c>
      <c r="K19" s="3">
        <v>12867786</v>
      </c>
      <c r="L19" s="123">
        <v>987968</v>
      </c>
      <c r="M19" s="121">
        <f t="shared" si="2"/>
        <v>13855754</v>
      </c>
    </row>
    <row r="20" spans="1:13" x14ac:dyDescent="0.3">
      <c r="A20" t="s">
        <v>21</v>
      </c>
      <c r="B20" s="2">
        <v>3459260771.3939471</v>
      </c>
      <c r="C20" s="2">
        <f t="shared" si="0"/>
        <v>683056477.79400003</v>
      </c>
      <c r="D20" s="19">
        <v>683056477.79400003</v>
      </c>
      <c r="E20" s="19" t="s">
        <v>287</v>
      </c>
      <c r="F20" s="2">
        <v>137726350.05000001</v>
      </c>
      <c r="G20" s="13">
        <v>4170.37</v>
      </c>
      <c r="H20" s="13">
        <v>29792</v>
      </c>
      <c r="I20" s="6">
        <f t="shared" si="1"/>
        <v>0.34454222087206515</v>
      </c>
      <c r="K20" s="3">
        <v>8684764</v>
      </c>
      <c r="L20" s="123">
        <v>789868</v>
      </c>
      <c r="M20" s="121">
        <f t="shared" si="2"/>
        <v>9474632</v>
      </c>
    </row>
    <row r="21" spans="1:13" x14ac:dyDescent="0.3">
      <c r="A21" t="s">
        <v>22</v>
      </c>
      <c r="B21" s="2">
        <v>2533602640.6190476</v>
      </c>
      <c r="C21" s="2">
        <f t="shared" si="0"/>
        <v>457357033.03439999</v>
      </c>
      <c r="D21" s="19">
        <v>457357033.03439999</v>
      </c>
      <c r="E21" s="19" t="s">
        <v>287</v>
      </c>
      <c r="F21" s="2">
        <v>162406342.17000002</v>
      </c>
      <c r="G21" s="13">
        <v>3751.52</v>
      </c>
      <c r="H21" s="13">
        <v>29283</v>
      </c>
      <c r="I21" s="6">
        <f t="shared" si="1"/>
        <v>0.27261719049366923</v>
      </c>
      <c r="K21" s="3">
        <v>6478547</v>
      </c>
      <c r="L21" s="123">
        <v>628651</v>
      </c>
      <c r="M21" s="121">
        <f t="shared" si="2"/>
        <v>7107198</v>
      </c>
    </row>
    <row r="22" spans="1:13" x14ac:dyDescent="0.3">
      <c r="A22" t="s">
        <v>23</v>
      </c>
      <c r="B22" s="2">
        <v>951471670.03440404</v>
      </c>
      <c r="C22" s="2">
        <f t="shared" si="0"/>
        <v>170857780.535</v>
      </c>
      <c r="D22" s="19">
        <v>170857780.535</v>
      </c>
      <c r="E22" s="19" t="s">
        <v>287</v>
      </c>
      <c r="F22" s="2">
        <v>56799976</v>
      </c>
      <c r="G22" s="13">
        <v>673.5</v>
      </c>
      <c r="H22" s="13">
        <v>7331</v>
      </c>
      <c r="I22" s="6">
        <f t="shared" si="1"/>
        <v>0.51752780227298667</v>
      </c>
      <c r="K22" s="3">
        <v>2399110</v>
      </c>
      <c r="L22" s="1">
        <v>211987</v>
      </c>
      <c r="M22" s="121">
        <f t="shared" si="2"/>
        <v>2611097</v>
      </c>
    </row>
    <row r="23" spans="1:13" x14ac:dyDescent="0.3">
      <c r="A23" t="s">
        <v>24</v>
      </c>
      <c r="B23" s="2">
        <v>1061127011.9461316</v>
      </c>
      <c r="C23" s="2">
        <f t="shared" si="0"/>
        <v>198841087</v>
      </c>
      <c r="D23" s="19">
        <v>217253725.0088</v>
      </c>
      <c r="E23" s="19">
        <v>198841087</v>
      </c>
      <c r="F23" s="2">
        <v>50781692.710000001</v>
      </c>
      <c r="G23" s="13">
        <v>1822.78</v>
      </c>
      <c r="H23" s="13">
        <v>12454</v>
      </c>
      <c r="I23" s="6">
        <f t="shared" si="1"/>
        <v>0.24313939278310426</v>
      </c>
      <c r="K23" s="3">
        <v>3398217</v>
      </c>
      <c r="L23" s="123">
        <v>270393</v>
      </c>
      <c r="M23" s="121">
        <f t="shared" si="2"/>
        <v>3668610</v>
      </c>
    </row>
    <row r="24" spans="1:13" x14ac:dyDescent="0.3">
      <c r="A24" t="s">
        <v>25</v>
      </c>
      <c r="B24" s="2">
        <v>35462878178.519089</v>
      </c>
      <c r="C24" s="2">
        <f t="shared" si="0"/>
        <v>10652986641.969299</v>
      </c>
      <c r="D24" s="19">
        <v>10652986641.969299</v>
      </c>
      <c r="E24" s="19" t="s">
        <v>287</v>
      </c>
      <c r="F24" s="2">
        <v>4073926473.7600002</v>
      </c>
      <c r="G24" s="13">
        <v>58902.73</v>
      </c>
      <c r="H24" s="13">
        <v>333450</v>
      </c>
      <c r="I24" s="6">
        <f t="shared" si="1"/>
        <v>0.35216507312147594</v>
      </c>
      <c r="K24" s="3">
        <v>129589728</v>
      </c>
      <c r="L24" s="123">
        <v>5747150</v>
      </c>
      <c r="M24" s="121">
        <f t="shared" si="2"/>
        <v>135336878</v>
      </c>
    </row>
    <row r="25" spans="1:13" x14ac:dyDescent="0.3">
      <c r="A25" t="s">
        <v>26</v>
      </c>
      <c r="B25" s="2">
        <v>2575697595.0769229</v>
      </c>
      <c r="C25" s="2">
        <f t="shared" si="0"/>
        <v>542115810.03400004</v>
      </c>
      <c r="D25" s="19">
        <v>542115810.03400004</v>
      </c>
      <c r="E25" s="19" t="s">
        <v>287</v>
      </c>
      <c r="F25" s="2">
        <v>83134365.680000007</v>
      </c>
      <c r="G25" s="13">
        <v>1965.82</v>
      </c>
      <c r="H25" s="13">
        <v>14206</v>
      </c>
      <c r="I25" s="6">
        <f t="shared" si="1"/>
        <v>0.55057074547231144</v>
      </c>
      <c r="K25" s="3">
        <v>7177802</v>
      </c>
      <c r="L25" s="123">
        <v>66925</v>
      </c>
      <c r="M25" s="121">
        <f t="shared" si="2"/>
        <v>7244727</v>
      </c>
    </row>
    <row r="26" spans="1:13" x14ac:dyDescent="0.3">
      <c r="A26" t="s">
        <v>27</v>
      </c>
      <c r="B26" s="2">
        <v>515609289.72638685</v>
      </c>
      <c r="C26" s="2">
        <f t="shared" si="0"/>
        <v>96519187.584999993</v>
      </c>
      <c r="D26" s="19">
        <v>96519187.584999993</v>
      </c>
      <c r="E26" s="19" t="s">
        <v>287</v>
      </c>
      <c r="F26" s="2">
        <v>12891098</v>
      </c>
      <c r="G26" s="13">
        <v>600.45000000000005</v>
      </c>
      <c r="H26" s="13">
        <v>5192</v>
      </c>
      <c r="I26" s="6">
        <f t="shared" si="1"/>
        <v>0.32347589960763462</v>
      </c>
      <c r="K26" s="3">
        <v>1303187</v>
      </c>
      <c r="L26" s="123">
        <v>59209</v>
      </c>
      <c r="M26" s="121">
        <f t="shared" si="2"/>
        <v>1362396</v>
      </c>
    </row>
    <row r="27" spans="1:13" x14ac:dyDescent="0.3">
      <c r="A27" t="s">
        <v>28</v>
      </c>
      <c r="B27" s="2">
        <v>5696920903.6710148</v>
      </c>
      <c r="C27" s="2">
        <f t="shared" si="0"/>
        <v>1272750536.658</v>
      </c>
      <c r="D27" s="19">
        <v>1272750536.658</v>
      </c>
      <c r="E27" s="19" t="s">
        <v>287</v>
      </c>
      <c r="F27" s="2">
        <v>599375784.63</v>
      </c>
      <c r="G27" s="13">
        <v>7900.27</v>
      </c>
      <c r="H27" s="13">
        <v>48908</v>
      </c>
      <c r="I27" s="6">
        <f t="shared" si="1"/>
        <v>0.35725864742237334</v>
      </c>
      <c r="K27" s="3">
        <v>18328904</v>
      </c>
      <c r="L27" s="123">
        <v>1163970</v>
      </c>
      <c r="M27" s="121">
        <f t="shared" si="2"/>
        <v>19492874</v>
      </c>
    </row>
    <row r="28" spans="1:13" x14ac:dyDescent="0.3">
      <c r="A28" t="s">
        <v>29</v>
      </c>
      <c r="B28" s="2">
        <v>950335785.31188607</v>
      </c>
      <c r="C28" s="2">
        <f t="shared" si="0"/>
        <v>162619003.06060001</v>
      </c>
      <c r="D28" s="19">
        <v>162619003.06060001</v>
      </c>
      <c r="E28" s="19" t="s">
        <v>287</v>
      </c>
      <c r="F28" s="2">
        <v>32060124.59</v>
      </c>
      <c r="G28" s="13">
        <v>1288.5999999999999</v>
      </c>
      <c r="H28" s="13">
        <v>9989</v>
      </c>
      <c r="I28" s="6">
        <f t="shared" si="1"/>
        <v>0.28093256459825422</v>
      </c>
      <c r="K28" s="3">
        <v>2457027</v>
      </c>
      <c r="L28" s="123">
        <v>302880</v>
      </c>
      <c r="M28" s="121">
        <f t="shared" si="2"/>
        <v>2759907</v>
      </c>
    </row>
    <row r="29" spans="1:13" x14ac:dyDescent="0.3">
      <c r="A29" t="s">
        <v>30</v>
      </c>
      <c r="B29" s="2">
        <v>1508069625.890528</v>
      </c>
      <c r="C29" s="2">
        <f t="shared" si="0"/>
        <v>185755461.8554</v>
      </c>
      <c r="D29" s="19">
        <v>185755461.8554</v>
      </c>
      <c r="E29" s="19" t="s">
        <v>287</v>
      </c>
      <c r="F29" s="2">
        <v>60520561.030000001</v>
      </c>
      <c r="G29" s="13">
        <v>2182.5</v>
      </c>
      <c r="H29" s="13">
        <v>15339</v>
      </c>
      <c r="I29" s="6">
        <f t="shared" si="1"/>
        <v>0.24698236029127091</v>
      </c>
      <c r="K29" s="3">
        <v>3938724</v>
      </c>
      <c r="L29" s="123">
        <v>355833</v>
      </c>
      <c r="M29" s="121">
        <f t="shared" si="2"/>
        <v>4294557</v>
      </c>
    </row>
    <row r="30" spans="1:13" x14ac:dyDescent="0.3">
      <c r="A30" t="s">
        <v>31</v>
      </c>
      <c r="B30" s="2">
        <v>2734966557.7989073</v>
      </c>
      <c r="C30" s="2">
        <f t="shared" si="0"/>
        <v>581719837.57700002</v>
      </c>
      <c r="D30" s="19">
        <v>581719837.57700002</v>
      </c>
      <c r="E30" s="19" t="s">
        <v>287</v>
      </c>
      <c r="F30" s="2">
        <v>131364126.45</v>
      </c>
      <c r="G30" s="13">
        <v>4361.71</v>
      </c>
      <c r="H30" s="13">
        <v>28753</v>
      </c>
      <c r="I30" s="6">
        <f t="shared" si="1"/>
        <v>0.27827070651328795</v>
      </c>
      <c r="K30" s="3">
        <v>7910155</v>
      </c>
      <c r="L30" s="123">
        <v>628621</v>
      </c>
      <c r="M30" s="121">
        <f t="shared" si="2"/>
        <v>8538776</v>
      </c>
    </row>
    <row r="31" spans="1:13" x14ac:dyDescent="0.3">
      <c r="A31" t="s">
        <v>32</v>
      </c>
      <c r="B31" s="2">
        <v>1411183489.3206885</v>
      </c>
      <c r="C31" s="2">
        <f t="shared" si="0"/>
        <v>240430772.38299999</v>
      </c>
      <c r="D31" s="19">
        <v>240430772.38299999</v>
      </c>
      <c r="E31" s="19" t="s">
        <v>287</v>
      </c>
      <c r="F31" s="2">
        <v>181036123.17000002</v>
      </c>
      <c r="G31" s="13">
        <v>1417.41</v>
      </c>
      <c r="H31" s="13">
        <v>10914</v>
      </c>
      <c r="I31" s="6">
        <f t="shared" si="1"/>
        <v>0.42972882124657158</v>
      </c>
      <c r="K31" s="3">
        <v>3944989</v>
      </c>
      <c r="L31" s="123">
        <v>526820</v>
      </c>
      <c r="M31" s="121">
        <f t="shared" si="2"/>
        <v>4471809</v>
      </c>
    </row>
    <row r="32" spans="1:13" x14ac:dyDescent="0.3">
      <c r="A32" t="s">
        <v>33</v>
      </c>
      <c r="B32" s="2">
        <v>249233574522.73746</v>
      </c>
      <c r="C32" s="2">
        <f t="shared" si="0"/>
        <v>60844541467.445801</v>
      </c>
      <c r="D32" s="19">
        <v>60844541467.445801</v>
      </c>
      <c r="E32" s="19" t="s">
        <v>287</v>
      </c>
      <c r="F32" s="2">
        <v>15019492203.389999</v>
      </c>
      <c r="G32" s="13">
        <v>178383.87</v>
      </c>
      <c r="H32" s="13">
        <v>1129330</v>
      </c>
      <c r="I32" s="6">
        <f t="shared" si="1"/>
        <v>0.67537061066872317</v>
      </c>
      <c r="K32" s="3">
        <v>885579820</v>
      </c>
      <c r="L32" s="123">
        <v>22980057</v>
      </c>
      <c r="M32" s="121">
        <f t="shared" si="2"/>
        <v>908559877</v>
      </c>
    </row>
    <row r="33" spans="1:13" x14ac:dyDescent="0.3">
      <c r="A33" t="s">
        <v>34</v>
      </c>
      <c r="B33" s="2">
        <v>14418202055.693708</v>
      </c>
      <c r="C33" s="2">
        <f t="shared" si="0"/>
        <v>3197576357.7091999</v>
      </c>
      <c r="D33" s="19">
        <v>3197576357.7091999</v>
      </c>
      <c r="E33" s="19" t="s">
        <v>287</v>
      </c>
      <c r="F33" s="2">
        <v>744459400.08999991</v>
      </c>
      <c r="G33" s="13">
        <v>10904.11</v>
      </c>
      <c r="H33" s="13">
        <v>67898</v>
      </c>
      <c r="I33" s="6">
        <f t="shared" si="1"/>
        <v>0.61135177564460375</v>
      </c>
      <c r="K33" s="3">
        <v>42690604</v>
      </c>
      <c r="L33" s="123">
        <v>652543</v>
      </c>
      <c r="M33" s="121">
        <f t="shared" si="2"/>
        <v>43343147</v>
      </c>
    </row>
    <row r="34" spans="1:13" x14ac:dyDescent="0.3">
      <c r="A34" t="s">
        <v>35</v>
      </c>
      <c r="B34" s="2">
        <v>1729492812.0284672</v>
      </c>
      <c r="C34" s="2">
        <f t="shared" si="0"/>
        <v>294224896.97500002</v>
      </c>
      <c r="D34" s="19">
        <v>294224896.97500002</v>
      </c>
      <c r="E34" s="19" t="s">
        <v>287</v>
      </c>
      <c r="F34" s="2">
        <v>71712184.689999998</v>
      </c>
      <c r="G34" s="13">
        <v>1991.8</v>
      </c>
      <c r="H34" s="13">
        <v>15430</v>
      </c>
      <c r="I34" s="6">
        <f t="shared" si="1"/>
        <v>0.3337255110795479</v>
      </c>
      <c r="K34" s="3">
        <v>4336371</v>
      </c>
      <c r="L34" s="1">
        <v>268876</v>
      </c>
      <c r="M34" s="121">
        <f t="shared" si="2"/>
        <v>4605247</v>
      </c>
    </row>
    <row r="35" spans="1:13" x14ac:dyDescent="0.3">
      <c r="A35" t="s">
        <v>36</v>
      </c>
      <c r="B35" s="2">
        <v>3362716420.1848741</v>
      </c>
      <c r="C35" s="2">
        <f t="shared" si="0"/>
        <v>648907375.47800004</v>
      </c>
      <c r="D35" s="19">
        <v>648907375.47800004</v>
      </c>
      <c r="E35" s="19" t="s">
        <v>287</v>
      </c>
      <c r="F35" s="2">
        <v>115253863.33</v>
      </c>
      <c r="G35" s="13">
        <v>3447.7</v>
      </c>
      <c r="H35" s="13">
        <v>26162</v>
      </c>
      <c r="I35" s="6">
        <f t="shared" si="1"/>
        <v>0.39114067623604754</v>
      </c>
      <c r="K35" s="3">
        <v>8186747</v>
      </c>
      <c r="L35" s="123">
        <v>209945</v>
      </c>
      <c r="M35" s="121">
        <f t="shared" si="2"/>
        <v>8396692</v>
      </c>
    </row>
    <row r="36" spans="1:13" x14ac:dyDescent="0.3">
      <c r="A36" t="s">
        <v>37</v>
      </c>
      <c r="B36" s="2">
        <v>7360330323.4396172</v>
      </c>
      <c r="C36" s="2">
        <f t="shared" si="0"/>
        <v>1131517145.7293999</v>
      </c>
      <c r="D36" s="19">
        <v>1131517145.7293999</v>
      </c>
      <c r="E36" s="19" t="s">
        <v>287</v>
      </c>
      <c r="F36" s="2">
        <v>404044020.85000002</v>
      </c>
      <c r="G36" s="13">
        <v>6951.64</v>
      </c>
      <c r="H36" s="13">
        <v>56373</v>
      </c>
      <c r="I36" s="6">
        <f t="shared" si="1"/>
        <v>0.39540996937467399</v>
      </c>
      <c r="K36" s="3">
        <v>18166381</v>
      </c>
      <c r="L36" s="123">
        <v>1434072</v>
      </c>
      <c r="M36" s="121">
        <f t="shared" si="2"/>
        <v>19600453</v>
      </c>
    </row>
    <row r="37" spans="1:13" x14ac:dyDescent="0.3">
      <c r="A37" t="s">
        <v>38</v>
      </c>
      <c r="B37" s="2">
        <v>9724832257.9252014</v>
      </c>
      <c r="C37" s="2">
        <f t="shared" si="0"/>
        <v>2442467859.638</v>
      </c>
      <c r="D37" s="19">
        <v>2442467859.638</v>
      </c>
      <c r="E37" s="19" t="s">
        <v>287</v>
      </c>
      <c r="F37" s="2">
        <v>1159781255.6500001</v>
      </c>
      <c r="G37" s="13">
        <v>13041.46</v>
      </c>
      <c r="H37" s="13">
        <v>82623</v>
      </c>
      <c r="I37" s="6">
        <f t="shared" si="1"/>
        <v>0.38981212392010289</v>
      </c>
      <c r="K37" s="3">
        <v>34267367</v>
      </c>
      <c r="L37" s="123">
        <v>1527614</v>
      </c>
      <c r="M37" s="121">
        <f t="shared" si="2"/>
        <v>35794981</v>
      </c>
    </row>
    <row r="38" spans="1:13" x14ac:dyDescent="0.3">
      <c r="A38" t="s">
        <v>39</v>
      </c>
      <c r="B38" s="2">
        <v>1362967284.1797621</v>
      </c>
      <c r="C38" s="2">
        <f t="shared" si="0"/>
        <v>323426015.37159997</v>
      </c>
      <c r="D38" s="19">
        <v>323426015.37159997</v>
      </c>
      <c r="E38" s="19" t="s">
        <v>287</v>
      </c>
      <c r="F38" s="2">
        <v>156312262.80000001</v>
      </c>
      <c r="G38" s="13">
        <v>2391.04</v>
      </c>
      <c r="H38" s="13">
        <v>17179</v>
      </c>
      <c r="I38" s="6">
        <f t="shared" si="1"/>
        <v>0.27793792339452827</v>
      </c>
      <c r="K38" s="3">
        <v>4255262</v>
      </c>
      <c r="L38" s="123"/>
      <c r="M38" s="121">
        <f t="shared" si="2"/>
        <v>4255262</v>
      </c>
    </row>
    <row r="39" spans="1:13" x14ac:dyDescent="0.3">
      <c r="A39" t="s">
        <v>40</v>
      </c>
      <c r="B39" s="2">
        <v>4541962509.6699829</v>
      </c>
      <c r="C39" s="2">
        <f t="shared" si="0"/>
        <v>946981548.21780002</v>
      </c>
      <c r="D39" s="19">
        <v>946981548.21780002</v>
      </c>
      <c r="E39" s="19" t="s">
        <v>287</v>
      </c>
      <c r="F39" s="2">
        <v>373293033.47000003</v>
      </c>
      <c r="G39" s="13">
        <v>5381.45</v>
      </c>
      <c r="H39" s="13">
        <v>37072</v>
      </c>
      <c r="I39" s="6">
        <f t="shared" si="1"/>
        <v>0.38214074863844161</v>
      </c>
      <c r="K39" s="3">
        <v>12329334</v>
      </c>
      <c r="L39" s="123">
        <v>554888</v>
      </c>
      <c r="M39" s="121">
        <f t="shared" si="2"/>
        <v>12884222</v>
      </c>
    </row>
    <row r="40" spans="1:13" x14ac:dyDescent="0.3">
      <c r="A40" t="s">
        <v>41</v>
      </c>
      <c r="B40" s="2">
        <v>5249123022.8951159</v>
      </c>
      <c r="C40" s="2">
        <f t="shared" si="0"/>
        <v>1437296953.329</v>
      </c>
      <c r="D40" s="19">
        <v>1437296953.329</v>
      </c>
      <c r="E40" s="19" t="s">
        <v>287</v>
      </c>
      <c r="F40" s="2">
        <v>201116705.23000002</v>
      </c>
      <c r="G40" s="13">
        <v>2495.3000000000002</v>
      </c>
      <c r="H40" s="13">
        <v>22277</v>
      </c>
      <c r="I40" s="6">
        <f t="shared" si="1"/>
        <v>0.8</v>
      </c>
      <c r="K40" s="3">
        <v>13027703</v>
      </c>
      <c r="L40" s="123">
        <v>286543</v>
      </c>
      <c r="M40" s="121">
        <f t="shared" si="2"/>
        <v>13314246</v>
      </c>
    </row>
    <row r="41" spans="1:13" x14ac:dyDescent="0.3">
      <c r="A41" t="s">
        <v>42</v>
      </c>
      <c r="B41" s="2">
        <v>1670558004.2648437</v>
      </c>
      <c r="C41" s="2">
        <f t="shared" si="0"/>
        <v>252734138</v>
      </c>
      <c r="D41" s="19">
        <v>263095529.88209999</v>
      </c>
      <c r="E41" s="19">
        <v>252734138</v>
      </c>
      <c r="F41" s="2">
        <v>33295047</v>
      </c>
      <c r="G41" s="13">
        <v>1615.96</v>
      </c>
      <c r="H41" s="13">
        <v>16087</v>
      </c>
      <c r="I41" s="6">
        <f t="shared" si="1"/>
        <v>0.34518246893068444</v>
      </c>
      <c r="K41" s="3">
        <v>3812433</v>
      </c>
      <c r="L41" s="1">
        <v>318916</v>
      </c>
      <c r="M41" s="121">
        <f t="shared" si="2"/>
        <v>4131349</v>
      </c>
    </row>
    <row r="42" spans="1:13" x14ac:dyDescent="0.3">
      <c r="A42" t="s">
        <v>43</v>
      </c>
      <c r="B42" s="2">
        <v>2257170514.3919344</v>
      </c>
      <c r="C42" s="2">
        <f t="shared" si="0"/>
        <v>455535998.60799998</v>
      </c>
      <c r="D42" s="19">
        <v>455535998.60799998</v>
      </c>
      <c r="E42" s="19" t="s">
        <v>287</v>
      </c>
      <c r="F42" s="2">
        <v>164467431.91</v>
      </c>
      <c r="G42" s="13">
        <v>3069.9</v>
      </c>
      <c r="H42" s="13">
        <v>19840</v>
      </c>
      <c r="I42" s="6">
        <f t="shared" si="1"/>
        <v>0.33215495153983882</v>
      </c>
      <c r="K42" s="3">
        <v>6555305</v>
      </c>
      <c r="L42" s="123">
        <v>275339</v>
      </c>
      <c r="M42" s="121">
        <f t="shared" si="2"/>
        <v>6830644</v>
      </c>
    </row>
    <row r="43" spans="1:13" x14ac:dyDescent="0.3">
      <c r="A43" t="s">
        <v>44</v>
      </c>
      <c r="B43" s="2">
        <v>716461134.26246715</v>
      </c>
      <c r="C43" s="2">
        <f t="shared" si="0"/>
        <v>160981807.02000001</v>
      </c>
      <c r="D43" s="19">
        <v>212242897.2974</v>
      </c>
      <c r="E43" s="19">
        <v>160981807.02000001</v>
      </c>
      <c r="F43" s="2">
        <v>42405153</v>
      </c>
      <c r="G43" s="13">
        <v>1399.62</v>
      </c>
      <c r="H43" s="13">
        <v>11804</v>
      </c>
      <c r="I43" s="6">
        <f t="shared" si="1"/>
        <v>0.21803888447716638</v>
      </c>
      <c r="K43" s="3">
        <v>2187248</v>
      </c>
      <c r="L43" s="123">
        <v>315467</v>
      </c>
      <c r="M43" s="121">
        <f t="shared" si="2"/>
        <v>2502715</v>
      </c>
    </row>
    <row r="44" spans="1:13" x14ac:dyDescent="0.3">
      <c r="A44" t="s">
        <v>45</v>
      </c>
      <c r="B44" s="2">
        <v>3666857551.2319984</v>
      </c>
      <c r="C44" s="2">
        <f t="shared" si="0"/>
        <v>593650086.00999999</v>
      </c>
      <c r="D44" s="19">
        <v>622215965.86500001</v>
      </c>
      <c r="E44" s="19">
        <v>593650086.00999999</v>
      </c>
      <c r="F44" s="2">
        <v>304313162.63</v>
      </c>
      <c r="G44" s="13">
        <v>5040.01</v>
      </c>
      <c r="H44" s="13">
        <v>35766</v>
      </c>
      <c r="I44" s="6">
        <f t="shared" si="1"/>
        <v>0.29912581914672481</v>
      </c>
      <c r="K44" s="3">
        <v>10554569</v>
      </c>
      <c r="L44" s="123">
        <v>1051134</v>
      </c>
      <c r="M44" s="121">
        <f t="shared" si="2"/>
        <v>11605703</v>
      </c>
    </row>
    <row r="45" spans="1:13" x14ac:dyDescent="0.3">
      <c r="A45" t="s">
        <v>46</v>
      </c>
      <c r="B45" s="2">
        <v>14954590370.086966</v>
      </c>
      <c r="C45" s="2">
        <f t="shared" si="0"/>
        <v>3625397263.1492</v>
      </c>
      <c r="D45" s="19">
        <v>3625397263.1492</v>
      </c>
      <c r="E45" s="19" t="s">
        <v>287</v>
      </c>
      <c r="F45" s="2">
        <v>1793204650.54</v>
      </c>
      <c r="G45" s="13">
        <v>17753.43</v>
      </c>
      <c r="H45" s="13">
        <v>104013</v>
      </c>
      <c r="I45" s="6">
        <f t="shared" si="1"/>
        <v>0.44677281464076768</v>
      </c>
      <c r="K45" s="3">
        <v>48893754</v>
      </c>
      <c r="L45" s="123">
        <v>707787</v>
      </c>
      <c r="M45" s="121">
        <f t="shared" si="2"/>
        <v>49601541</v>
      </c>
    </row>
    <row r="46" spans="1:13" x14ac:dyDescent="0.3">
      <c r="A46" t="s">
        <v>47</v>
      </c>
      <c r="B46" s="2">
        <v>36922193176.922699</v>
      </c>
      <c r="C46" s="2">
        <f t="shared" si="0"/>
        <v>10706405670.062599</v>
      </c>
      <c r="D46" s="19">
        <v>10706405670.062599</v>
      </c>
      <c r="E46" s="19" t="s">
        <v>287</v>
      </c>
      <c r="F46" s="2">
        <v>5430593997.3500004</v>
      </c>
      <c r="G46" s="13">
        <v>50308.69</v>
      </c>
      <c r="H46" s="13">
        <v>320717</v>
      </c>
      <c r="I46" s="6">
        <f t="shared" si="1"/>
        <v>0.41832097812619179</v>
      </c>
      <c r="K46" s="3">
        <v>130855698</v>
      </c>
      <c r="L46" s="123">
        <v>9012487</v>
      </c>
      <c r="M46" s="121">
        <f t="shared" si="2"/>
        <v>139868185</v>
      </c>
    </row>
    <row r="47" spans="1:13" x14ac:dyDescent="0.3">
      <c r="A47" t="s">
        <v>48</v>
      </c>
      <c r="B47" s="2">
        <v>3118390249.73668</v>
      </c>
      <c r="C47" s="2">
        <f t="shared" si="0"/>
        <v>828393926.00999999</v>
      </c>
      <c r="D47" s="19">
        <v>864808728.1882</v>
      </c>
      <c r="E47" s="19">
        <v>828393926.00999999</v>
      </c>
      <c r="F47" s="2">
        <v>377770857.46000004</v>
      </c>
      <c r="G47" s="13">
        <v>7044.63</v>
      </c>
      <c r="H47" s="13">
        <v>52822</v>
      </c>
      <c r="I47" s="6">
        <f t="shared" si="1"/>
        <v>0.22446772228645329</v>
      </c>
      <c r="K47" s="3">
        <v>10818490</v>
      </c>
      <c r="L47" s="1">
        <v>1508549</v>
      </c>
      <c r="M47" s="121">
        <f t="shared" si="2"/>
        <v>12327039</v>
      </c>
    </row>
    <row r="48" spans="1:13" x14ac:dyDescent="0.3">
      <c r="A48" t="s">
        <v>49</v>
      </c>
      <c r="B48" s="2">
        <v>653594689.99574113</v>
      </c>
      <c r="C48" s="2">
        <f t="shared" si="0"/>
        <v>49103920.795999996</v>
      </c>
      <c r="D48" s="19">
        <v>49103920.795999996</v>
      </c>
      <c r="E48" s="19" t="s">
        <v>287</v>
      </c>
      <c r="F48" s="2">
        <v>10412003.07</v>
      </c>
      <c r="G48" s="13">
        <v>193.23</v>
      </c>
      <c r="H48" s="13">
        <v>2277</v>
      </c>
      <c r="I48" s="6">
        <f t="shared" si="1"/>
        <v>0.8</v>
      </c>
      <c r="K48" s="3">
        <v>2219470</v>
      </c>
      <c r="L48" s="1">
        <v>114839</v>
      </c>
      <c r="M48" s="121">
        <f t="shared" si="2"/>
        <v>2334309</v>
      </c>
    </row>
    <row r="49" spans="1:13" x14ac:dyDescent="0.3">
      <c r="A49" t="s">
        <v>50</v>
      </c>
      <c r="B49" s="2">
        <v>4673046081.0904694</v>
      </c>
      <c r="C49" s="2">
        <f t="shared" si="0"/>
        <v>1072159453.3839999</v>
      </c>
      <c r="D49" s="19">
        <v>1072159453.3839999</v>
      </c>
      <c r="E49" s="19" t="s">
        <v>287</v>
      </c>
      <c r="F49" s="2">
        <v>220426281.04000002</v>
      </c>
      <c r="G49" s="13">
        <v>5314.23</v>
      </c>
      <c r="H49" s="13">
        <v>36438</v>
      </c>
      <c r="I49" s="6">
        <f t="shared" si="1"/>
        <v>0.39676093639394167</v>
      </c>
      <c r="K49" s="3">
        <v>13567549</v>
      </c>
      <c r="L49" s="1">
        <v>646749</v>
      </c>
      <c r="M49" s="121">
        <f t="shared" si="2"/>
        <v>14214298</v>
      </c>
    </row>
    <row r="50" spans="1:13" x14ac:dyDescent="0.3">
      <c r="A50" t="s">
        <v>51</v>
      </c>
      <c r="B50" s="2">
        <v>12512468850.514198</v>
      </c>
      <c r="C50" s="2">
        <f t="shared" si="0"/>
        <v>2890281957.1518002</v>
      </c>
      <c r="D50" s="19">
        <v>2890281957.1518002</v>
      </c>
      <c r="E50" s="19" t="s">
        <v>287</v>
      </c>
      <c r="F50" s="2">
        <v>1002337084.74</v>
      </c>
      <c r="G50" s="13">
        <v>10278.19</v>
      </c>
      <c r="H50" s="13">
        <v>73325</v>
      </c>
      <c r="I50" s="6">
        <f t="shared" si="1"/>
        <v>0.56569727984480578</v>
      </c>
      <c r="K50" s="3">
        <v>37840099</v>
      </c>
      <c r="L50" s="1" t="s">
        <v>354</v>
      </c>
      <c r="M50" s="121" t="e">
        <f t="shared" si="2"/>
        <v>#VALUE!</v>
      </c>
    </row>
    <row r="51" spans="1:13" x14ac:dyDescent="0.3">
      <c r="A51" t="s">
        <v>52</v>
      </c>
      <c r="B51" s="2">
        <v>3197353292.7142034</v>
      </c>
      <c r="C51" s="2">
        <f t="shared" si="0"/>
        <v>767258358.13909996</v>
      </c>
      <c r="D51" s="19">
        <v>767258358.13909996</v>
      </c>
      <c r="E51" s="19" t="s">
        <v>287</v>
      </c>
      <c r="F51" s="2">
        <v>174808750.68000001</v>
      </c>
      <c r="G51" s="13">
        <v>4219.38</v>
      </c>
      <c r="H51" s="13">
        <v>24600</v>
      </c>
      <c r="I51" s="6">
        <f t="shared" si="1"/>
        <v>0.37203333547037704</v>
      </c>
      <c r="K51" s="3">
        <v>9941076</v>
      </c>
      <c r="L51" s="1">
        <v>523861</v>
      </c>
      <c r="M51" s="121">
        <f t="shared" si="2"/>
        <v>10464937</v>
      </c>
    </row>
    <row r="52" spans="1:13" x14ac:dyDescent="0.3">
      <c r="A52" t="s">
        <v>53</v>
      </c>
      <c r="B52" s="2">
        <v>942198653.81307852</v>
      </c>
      <c r="C52" s="2">
        <f t="shared" si="0"/>
        <v>142621954.491</v>
      </c>
      <c r="D52" s="20">
        <v>142621954.491</v>
      </c>
      <c r="E52" s="20" t="s">
        <v>287</v>
      </c>
      <c r="F52" s="2">
        <v>11317609</v>
      </c>
      <c r="G52" s="13">
        <v>813.36</v>
      </c>
      <c r="H52" s="13">
        <v>7190</v>
      </c>
      <c r="I52" s="6">
        <f t="shared" si="1"/>
        <v>0.39452951472382874</v>
      </c>
      <c r="K52" s="3">
        <v>2668366</v>
      </c>
      <c r="L52" s="1">
        <v>354842</v>
      </c>
      <c r="M52" s="121">
        <f t="shared" si="2"/>
        <v>3023208</v>
      </c>
    </row>
    <row r="53" spans="1:13" x14ac:dyDescent="0.3">
      <c r="A53" t="s">
        <v>54</v>
      </c>
      <c r="B53" s="2">
        <v>1532880856.1757441</v>
      </c>
      <c r="C53" s="2">
        <f t="shared" si="0"/>
        <v>339636150</v>
      </c>
      <c r="D53" s="19">
        <v>339636150</v>
      </c>
      <c r="E53" s="19" t="s">
        <v>287</v>
      </c>
      <c r="F53" s="2">
        <v>81254590.299999997</v>
      </c>
      <c r="G53" s="13">
        <v>2211.46</v>
      </c>
      <c r="H53" s="13">
        <v>12920</v>
      </c>
      <c r="I53" s="6">
        <f t="shared" si="1"/>
        <v>0.32833608273676351</v>
      </c>
      <c r="K53" s="3">
        <v>4566131</v>
      </c>
      <c r="L53" s="1">
        <v>121280</v>
      </c>
      <c r="M53" s="121">
        <f t="shared" si="2"/>
        <v>4687411</v>
      </c>
    </row>
    <row r="54" spans="1:13" x14ac:dyDescent="0.3">
      <c r="A54" t="s">
        <v>55</v>
      </c>
      <c r="B54" s="2">
        <v>2626641072.0150409</v>
      </c>
      <c r="C54" s="2">
        <f t="shared" si="0"/>
        <v>321655823.57639998</v>
      </c>
      <c r="D54" s="19">
        <v>321655823.57639998</v>
      </c>
      <c r="E54" s="19" t="s">
        <v>287</v>
      </c>
      <c r="F54" s="2">
        <v>158447138.17000002</v>
      </c>
      <c r="G54" s="13">
        <v>1132.02</v>
      </c>
      <c r="H54" s="13">
        <v>11297</v>
      </c>
      <c r="I54" s="6">
        <f t="shared" si="1"/>
        <v>0.77176229887815173</v>
      </c>
      <c r="K54" s="3">
        <v>6130138</v>
      </c>
      <c r="L54" s="1">
        <v>764601</v>
      </c>
      <c r="M54" s="121">
        <f t="shared" si="2"/>
        <v>6894739</v>
      </c>
    </row>
    <row r="55" spans="1:13" x14ac:dyDescent="0.3">
      <c r="A55" t="s">
        <v>56</v>
      </c>
      <c r="B55" s="2">
        <v>1154579892.7181141</v>
      </c>
      <c r="C55" s="2">
        <f t="shared" si="0"/>
        <v>274369913.56999999</v>
      </c>
      <c r="D55" s="19">
        <v>286784132.10689998</v>
      </c>
      <c r="E55" s="19">
        <v>274369913.56999999</v>
      </c>
      <c r="F55" s="2">
        <v>122560574</v>
      </c>
      <c r="G55" s="13">
        <v>3063.5</v>
      </c>
      <c r="H55" s="13">
        <v>25182</v>
      </c>
      <c r="I55" s="6">
        <f t="shared" si="1"/>
        <v>0.17477071440380643</v>
      </c>
      <c r="K55" s="3">
        <v>4025603</v>
      </c>
      <c r="L55" s="1">
        <v>336789</v>
      </c>
      <c r="M55" s="121">
        <f t="shared" si="2"/>
        <v>4362392</v>
      </c>
    </row>
    <row r="56" spans="1:13" x14ac:dyDescent="0.3">
      <c r="A56" t="s">
        <v>57</v>
      </c>
      <c r="B56" s="2">
        <v>74057839092.188339</v>
      </c>
      <c r="C56" s="2">
        <f t="shared" si="0"/>
        <v>19025828188.1717</v>
      </c>
      <c r="D56" s="19">
        <v>19025828188.1717</v>
      </c>
      <c r="E56" s="19" t="s">
        <v>287</v>
      </c>
      <c r="F56" s="2">
        <v>5335423939.3999996</v>
      </c>
      <c r="G56" s="13">
        <v>75549.69</v>
      </c>
      <c r="H56" s="13">
        <v>374451</v>
      </c>
      <c r="I56" s="6">
        <f t="shared" si="1"/>
        <v>0.53834277150870391</v>
      </c>
      <c r="K56" s="3">
        <v>301430247</v>
      </c>
      <c r="L56" s="1">
        <v>3590726</v>
      </c>
      <c r="M56" s="121">
        <f t="shared" si="2"/>
        <v>305020973</v>
      </c>
    </row>
    <row r="57" spans="1:13" x14ac:dyDescent="0.3">
      <c r="A57" t="s">
        <v>58</v>
      </c>
      <c r="B57" s="2">
        <v>7490954655.0249119</v>
      </c>
      <c r="C57" s="2">
        <f t="shared" si="0"/>
        <v>840019099.66649997</v>
      </c>
      <c r="D57" s="19">
        <v>840019099.66649997</v>
      </c>
      <c r="E57" s="19" t="s">
        <v>287</v>
      </c>
      <c r="F57" s="2">
        <v>278391164.80000001</v>
      </c>
      <c r="G57" s="13">
        <v>4688.0200000000004</v>
      </c>
      <c r="H57" s="13">
        <v>34244</v>
      </c>
      <c r="I57" s="6">
        <f t="shared" si="1"/>
        <v>0.54741148427615871</v>
      </c>
      <c r="K57" s="3">
        <v>16868965</v>
      </c>
      <c r="L57" s="1">
        <v>1223056</v>
      </c>
      <c r="M57" s="121">
        <f t="shared" si="2"/>
        <v>18092021</v>
      </c>
    </row>
    <row r="58" spans="1:13" x14ac:dyDescent="0.3">
      <c r="A58" t="s">
        <v>59</v>
      </c>
      <c r="B58" s="2">
        <v>973149203.74825239</v>
      </c>
      <c r="C58" s="2">
        <f t="shared" si="0"/>
        <v>178613466.965</v>
      </c>
      <c r="D58" s="19">
        <v>178613466.965</v>
      </c>
      <c r="E58" s="19" t="s">
        <v>287</v>
      </c>
      <c r="F58" s="2">
        <v>38493332</v>
      </c>
      <c r="G58" s="13">
        <v>1483.44</v>
      </c>
      <c r="H58" s="13">
        <v>12435</v>
      </c>
      <c r="I58" s="6">
        <f t="shared" si="1"/>
        <v>0.25243972952391652</v>
      </c>
      <c r="K58" s="3">
        <v>2512763</v>
      </c>
      <c r="L58" s="1">
        <v>329483</v>
      </c>
      <c r="M58" s="121">
        <f t="shared" si="2"/>
        <v>2842246</v>
      </c>
    </row>
    <row r="59" spans="1:13" x14ac:dyDescent="0.3">
      <c r="A59" t="s">
        <v>60</v>
      </c>
      <c r="B59" s="2">
        <v>2183766360.5184622</v>
      </c>
      <c r="C59" s="2">
        <f t="shared" si="0"/>
        <v>308540593.88099998</v>
      </c>
      <c r="D59" s="19">
        <v>308540593.88099998</v>
      </c>
      <c r="E59" s="19" t="s">
        <v>287</v>
      </c>
      <c r="F59" s="2">
        <v>82288335.870000005</v>
      </c>
      <c r="G59" s="13">
        <v>1710.45</v>
      </c>
      <c r="H59" s="13">
        <v>13099</v>
      </c>
      <c r="I59" s="6">
        <f t="shared" si="1"/>
        <v>0.46075083629630587</v>
      </c>
      <c r="K59" s="3">
        <v>4837558</v>
      </c>
      <c r="L59" s="1">
        <v>261181</v>
      </c>
      <c r="M59" s="121">
        <f t="shared" si="2"/>
        <v>5098739</v>
      </c>
    </row>
    <row r="60" spans="1:13" x14ac:dyDescent="0.3">
      <c r="A60" t="s">
        <v>61</v>
      </c>
      <c r="B60" s="2">
        <v>1544894655.6256881</v>
      </c>
      <c r="C60" s="2">
        <f t="shared" si="0"/>
        <v>234955677.49134001</v>
      </c>
      <c r="D60" s="19">
        <v>234955677.49134001</v>
      </c>
      <c r="E60" s="19" t="s">
        <v>287</v>
      </c>
      <c r="F60" s="2">
        <v>40782888.590000004</v>
      </c>
      <c r="G60" s="13">
        <v>1096.07</v>
      </c>
      <c r="H60" s="13">
        <v>8737</v>
      </c>
      <c r="I60" s="6">
        <f t="shared" si="1"/>
        <v>0.50601947555447302</v>
      </c>
      <c r="K60" s="3">
        <v>4093672</v>
      </c>
      <c r="L60" s="1">
        <v>174644</v>
      </c>
      <c r="M60" s="121">
        <f t="shared" si="2"/>
        <v>4268316</v>
      </c>
    </row>
    <row r="61" spans="1:13" x14ac:dyDescent="0.3">
      <c r="A61" t="s">
        <v>62</v>
      </c>
      <c r="B61" s="2">
        <v>3931843918.0273051</v>
      </c>
      <c r="C61" s="2">
        <f t="shared" si="0"/>
        <v>545458743.23000002</v>
      </c>
      <c r="D61" s="19">
        <v>579779221.28219998</v>
      </c>
      <c r="E61" s="19">
        <v>545458743.23000002</v>
      </c>
      <c r="F61" s="2">
        <v>494498439.25999999</v>
      </c>
      <c r="G61" s="13">
        <v>4302.6499999999996</v>
      </c>
      <c r="H61" s="13">
        <v>31608</v>
      </c>
      <c r="I61" s="6">
        <f t="shared" si="1"/>
        <v>0.37582932088090482</v>
      </c>
      <c r="J61" s="21"/>
      <c r="K61" s="3">
        <v>9730338</v>
      </c>
      <c r="L61" s="1">
        <v>1022667</v>
      </c>
      <c r="M61" s="121">
        <f t="shared" si="2"/>
        <v>10753005</v>
      </c>
    </row>
    <row r="62" spans="1:13" x14ac:dyDescent="0.3">
      <c r="A62" t="s">
        <v>63</v>
      </c>
      <c r="B62" s="2">
        <v>2258959159.1449738</v>
      </c>
      <c r="C62" s="2">
        <f t="shared" si="0"/>
        <v>264999185.79300001</v>
      </c>
      <c r="D62" s="19">
        <v>264999185.79300001</v>
      </c>
      <c r="E62" s="19" t="s">
        <v>287</v>
      </c>
      <c r="F62" s="2">
        <v>93051922.590000004</v>
      </c>
      <c r="G62" s="13">
        <v>1193.1600000000001</v>
      </c>
      <c r="H62" s="13">
        <v>11082</v>
      </c>
      <c r="I62" s="6">
        <f t="shared" si="1"/>
        <v>0.61595932119818786</v>
      </c>
      <c r="K62" s="3">
        <v>5088911</v>
      </c>
      <c r="L62" s="1">
        <v>400314</v>
      </c>
      <c r="M62" s="121">
        <f t="shared" si="2"/>
        <v>5489225</v>
      </c>
    </row>
    <row r="63" spans="1:13" x14ac:dyDescent="0.3">
      <c r="A63" t="s">
        <v>64</v>
      </c>
      <c r="B63" s="2">
        <v>8144236258.0901146</v>
      </c>
      <c r="C63" s="2">
        <f t="shared" si="0"/>
        <v>2042835618.4668</v>
      </c>
      <c r="D63" s="19">
        <v>2042835618.4668</v>
      </c>
      <c r="E63" s="19" t="s">
        <v>287</v>
      </c>
      <c r="F63" s="2">
        <v>1045664373.0799999</v>
      </c>
      <c r="G63" s="13">
        <v>9487.9599999999991</v>
      </c>
      <c r="H63" s="13">
        <v>98121</v>
      </c>
      <c r="I63" s="6">
        <f t="shared" si="1"/>
        <v>0.39189424257362798</v>
      </c>
      <c r="K63" s="3">
        <v>23195155</v>
      </c>
      <c r="L63" s="1">
        <v>1293279</v>
      </c>
      <c r="M63" s="121">
        <f t="shared" si="2"/>
        <v>24488434</v>
      </c>
    </row>
    <row r="64" spans="1:13" x14ac:dyDescent="0.3">
      <c r="A64" t="s">
        <v>65</v>
      </c>
      <c r="B64" s="2">
        <v>2908574135.0675497</v>
      </c>
      <c r="C64" s="2">
        <f t="shared" si="0"/>
        <v>388166056.98500001</v>
      </c>
      <c r="D64" s="19">
        <v>388166056.98500001</v>
      </c>
      <c r="E64" s="19" t="s">
        <v>287</v>
      </c>
      <c r="F64" s="2">
        <v>97899344.25</v>
      </c>
      <c r="G64" s="13">
        <v>1896.01</v>
      </c>
      <c r="H64" s="13">
        <v>14993</v>
      </c>
      <c r="I64" s="6">
        <f t="shared" si="1"/>
        <v>0.53559787539694526</v>
      </c>
      <c r="K64" s="3">
        <v>7619765</v>
      </c>
      <c r="L64" s="1">
        <v>527982</v>
      </c>
      <c r="M64" s="121">
        <f t="shared" si="2"/>
        <v>8147747</v>
      </c>
    </row>
    <row r="65" spans="1:13" x14ac:dyDescent="0.3">
      <c r="A65" t="s">
        <v>66</v>
      </c>
      <c r="B65" s="2">
        <v>2755340472.0727825</v>
      </c>
      <c r="C65" s="2">
        <f t="shared" si="0"/>
        <v>641920853.28960001</v>
      </c>
      <c r="D65" s="19">
        <v>641920853.28960001</v>
      </c>
      <c r="E65" s="19" t="s">
        <v>287</v>
      </c>
      <c r="F65" s="2">
        <v>118286363.76000001</v>
      </c>
      <c r="G65" s="13">
        <v>2983.49</v>
      </c>
      <c r="H65" s="13">
        <v>20468</v>
      </c>
      <c r="I65" s="6">
        <f t="shared" si="1"/>
        <v>0.4171258603483351</v>
      </c>
      <c r="K65" s="3">
        <v>8440439</v>
      </c>
      <c r="L65" s="1">
        <v>115218</v>
      </c>
      <c r="M65" s="121">
        <f t="shared" si="2"/>
        <v>8555657</v>
      </c>
    </row>
    <row r="66" spans="1:13" x14ac:dyDescent="0.3">
      <c r="A66" t="s">
        <v>67</v>
      </c>
      <c r="B66" s="2">
        <v>2101162419.594682</v>
      </c>
      <c r="C66" s="2">
        <f t="shared" si="0"/>
        <v>256385446.8312</v>
      </c>
      <c r="D66" s="19">
        <v>256385446.8312</v>
      </c>
      <c r="E66" s="19" t="s">
        <v>287</v>
      </c>
      <c r="F66" s="2">
        <v>113442883.09999999</v>
      </c>
      <c r="G66" s="13">
        <v>1559.87</v>
      </c>
      <c r="H66" s="13">
        <v>12176</v>
      </c>
      <c r="I66" s="6">
        <f t="shared" si="1"/>
        <v>0.47460219170596174</v>
      </c>
      <c r="K66" s="3">
        <v>5881606</v>
      </c>
      <c r="L66" s="1">
        <v>915355</v>
      </c>
      <c r="M66" s="121">
        <f t="shared" si="2"/>
        <v>6796961</v>
      </c>
    </row>
    <row r="67" spans="1:13" x14ac:dyDescent="0.3">
      <c r="A67" t="s">
        <v>68</v>
      </c>
      <c r="B67" s="2">
        <v>2967245739.9950027</v>
      </c>
      <c r="C67" s="2">
        <f t="shared" si="0"/>
        <v>336607865.60500002</v>
      </c>
      <c r="D67" s="19">
        <v>336607865.60500002</v>
      </c>
      <c r="E67" s="19" t="s">
        <v>287</v>
      </c>
      <c r="F67" s="2">
        <v>60339664.850000001</v>
      </c>
      <c r="G67" s="13">
        <v>1277.97</v>
      </c>
      <c r="H67" s="13">
        <v>12220</v>
      </c>
      <c r="I67" s="6">
        <f t="shared" si="1"/>
        <v>0.71862389269851479</v>
      </c>
      <c r="K67" s="3">
        <v>6481681</v>
      </c>
      <c r="L67" s="1">
        <v>606462</v>
      </c>
      <c r="M67" s="121">
        <f t="shared" si="2"/>
        <v>7088143</v>
      </c>
    </row>
    <row r="68" spans="1:13" x14ac:dyDescent="0.3">
      <c r="A68" t="s">
        <v>69</v>
      </c>
      <c r="B68" s="2">
        <v>1082405093.7497156</v>
      </c>
      <c r="C68" s="2">
        <f t="shared" si="0"/>
        <v>235448294.03240001</v>
      </c>
      <c r="D68" s="19">
        <v>235448294.03240001</v>
      </c>
      <c r="E68" s="19" t="s">
        <v>287</v>
      </c>
      <c r="F68" s="2">
        <v>125684762.78</v>
      </c>
      <c r="G68" s="13">
        <v>2092.8000000000002</v>
      </c>
      <c r="H68" s="13">
        <v>16261</v>
      </c>
      <c r="I68" s="6">
        <f t="shared" si="1"/>
        <v>0.2384527871814561</v>
      </c>
      <c r="K68" s="3">
        <v>3347182</v>
      </c>
      <c r="L68" s="1">
        <v>392585</v>
      </c>
      <c r="M68" s="121">
        <f t="shared" si="2"/>
        <v>3739767</v>
      </c>
    </row>
    <row r="69" spans="1:13" x14ac:dyDescent="0.3">
      <c r="A69" t="s">
        <v>70</v>
      </c>
      <c r="B69" s="2">
        <v>4579356935.234251</v>
      </c>
      <c r="C69" s="2">
        <f t="shared" ref="C69:C132" si="3">IFERROR(MIN(D69:E69),D69)</f>
        <v>900340065.52139997</v>
      </c>
      <c r="D69" s="19">
        <v>900340065.52139997</v>
      </c>
      <c r="E69" s="19" t="s">
        <v>287</v>
      </c>
      <c r="F69" s="2">
        <v>253300185.09999999</v>
      </c>
      <c r="G69" s="13">
        <v>4840.2700000000004</v>
      </c>
      <c r="H69" s="13">
        <v>34015</v>
      </c>
      <c r="I69" s="6">
        <f t="shared" ref="I69:I132" si="4">MIN((1-0.55)*(0.666666*(0.5*(B69/G69)/($B$3/$G$3)+0.4*((C69/G69)/($C$3/$G$3))+0.1*((F69/G69)/($F$3/$G$3)))+0.3333333*(0.5*(B69/H69)/($B$3/$H$3)+0.4*((C69/H69)/($C$3/$H$3))+0.1*((F69/H69)/($F$3/$H$3)))),0.8)</f>
        <v>0.40247552311326995</v>
      </c>
      <c r="K69" s="3">
        <v>11639834</v>
      </c>
      <c r="L69" s="1">
        <v>765906</v>
      </c>
      <c r="M69" s="121">
        <f t="shared" ref="M69:M132" si="5">L69+K69</f>
        <v>12405740</v>
      </c>
    </row>
    <row r="70" spans="1:13" x14ac:dyDescent="0.3">
      <c r="A70" t="s">
        <v>71</v>
      </c>
      <c r="B70" s="2">
        <v>2307337792.8540144</v>
      </c>
      <c r="C70" s="2">
        <f t="shared" si="3"/>
        <v>441708713.31</v>
      </c>
      <c r="D70" s="19">
        <v>441708713.31</v>
      </c>
      <c r="E70" s="19" t="s">
        <v>287</v>
      </c>
      <c r="F70" s="2">
        <v>170782160.44999999</v>
      </c>
      <c r="G70" s="13">
        <v>3280.23</v>
      </c>
      <c r="H70" s="13">
        <v>23719</v>
      </c>
      <c r="I70" s="6">
        <f t="shared" si="4"/>
        <v>0.30074028439481582</v>
      </c>
      <c r="K70" s="3">
        <v>6307442</v>
      </c>
      <c r="L70" s="1">
        <v>458692</v>
      </c>
      <c r="M70" s="121">
        <f t="shared" si="5"/>
        <v>6766134</v>
      </c>
    </row>
    <row r="71" spans="1:13" x14ac:dyDescent="0.3">
      <c r="A71" t="s">
        <v>72</v>
      </c>
      <c r="B71" s="2">
        <v>1649767603.0843568</v>
      </c>
      <c r="C71" s="2">
        <f t="shared" si="3"/>
        <v>262027827</v>
      </c>
      <c r="D71" s="19">
        <v>271638643.9817</v>
      </c>
      <c r="E71" s="19">
        <v>262027827</v>
      </c>
      <c r="F71" s="2">
        <v>97894919.280000001</v>
      </c>
      <c r="G71" s="13">
        <v>2800.21</v>
      </c>
      <c r="H71" s="13">
        <v>18450</v>
      </c>
      <c r="I71" s="6">
        <f t="shared" si="4"/>
        <v>0.23892398183411037</v>
      </c>
      <c r="K71" s="3">
        <v>4722304</v>
      </c>
      <c r="L71" s="1">
        <v>338083</v>
      </c>
      <c r="M71" s="121">
        <f t="shared" si="5"/>
        <v>5060387</v>
      </c>
    </row>
    <row r="72" spans="1:13" x14ac:dyDescent="0.3">
      <c r="A72" t="s">
        <v>73</v>
      </c>
      <c r="B72" s="2">
        <v>4846648595.4674702</v>
      </c>
      <c r="C72" s="2">
        <f t="shared" si="3"/>
        <v>1158316989.7530999</v>
      </c>
      <c r="D72" s="19">
        <v>1158316989.7530999</v>
      </c>
      <c r="E72" s="19" t="s">
        <v>287</v>
      </c>
      <c r="F72" s="2">
        <v>169037178.22</v>
      </c>
      <c r="G72" s="13">
        <v>8851.89</v>
      </c>
      <c r="H72" s="13">
        <v>63255</v>
      </c>
      <c r="I72" s="6">
        <f t="shared" si="4"/>
        <v>0.24428761930210668</v>
      </c>
      <c r="K72" s="3">
        <v>14066615</v>
      </c>
      <c r="L72" s="1">
        <v>1249431</v>
      </c>
      <c r="M72" s="121">
        <f t="shared" si="5"/>
        <v>15316046</v>
      </c>
    </row>
    <row r="73" spans="1:13" x14ac:dyDescent="0.3">
      <c r="A73" t="s">
        <v>74</v>
      </c>
      <c r="B73" s="2">
        <v>3869102071.9114585</v>
      </c>
      <c r="C73" s="2">
        <f t="shared" si="3"/>
        <v>937183726.76499999</v>
      </c>
      <c r="D73" s="19">
        <v>937183726.76499999</v>
      </c>
      <c r="E73" s="19" t="s">
        <v>287</v>
      </c>
      <c r="F73" s="2">
        <v>213906196.55000001</v>
      </c>
      <c r="G73" s="13">
        <v>4215.07</v>
      </c>
      <c r="H73" s="13">
        <v>28442</v>
      </c>
      <c r="I73" s="6">
        <f t="shared" si="4"/>
        <v>0.43018318437890829</v>
      </c>
      <c r="K73" s="3">
        <v>10849964</v>
      </c>
      <c r="L73" s="1">
        <v>83172</v>
      </c>
      <c r="M73" s="121">
        <f t="shared" si="5"/>
        <v>10933136</v>
      </c>
    </row>
    <row r="74" spans="1:13" x14ac:dyDescent="0.3">
      <c r="A74" t="s">
        <v>75</v>
      </c>
      <c r="B74" s="2">
        <v>1683097600.6877339</v>
      </c>
      <c r="C74" s="2">
        <f t="shared" si="3"/>
        <v>327262592.36400002</v>
      </c>
      <c r="D74" s="19">
        <v>327262592.36400002</v>
      </c>
      <c r="E74" s="19" t="s">
        <v>287</v>
      </c>
      <c r="F74" s="2">
        <v>289134327.81</v>
      </c>
      <c r="G74" s="13">
        <v>1975.74</v>
      </c>
      <c r="H74" s="13">
        <v>23631</v>
      </c>
      <c r="I74" s="6">
        <f t="shared" si="4"/>
        <v>0.35978534365138365</v>
      </c>
      <c r="K74" s="3">
        <v>5067511</v>
      </c>
      <c r="L74" s="1">
        <v>673140</v>
      </c>
      <c r="M74" s="121">
        <f t="shared" si="5"/>
        <v>5740651</v>
      </c>
    </row>
    <row r="75" spans="1:13" x14ac:dyDescent="0.3">
      <c r="A75" t="s">
        <v>76</v>
      </c>
      <c r="B75" s="2">
        <v>3014849483.3194718</v>
      </c>
      <c r="C75" s="2">
        <f t="shared" si="3"/>
        <v>754390580.70089996</v>
      </c>
      <c r="D75" s="19">
        <v>754390580.70089996</v>
      </c>
      <c r="E75" s="19" t="s">
        <v>287</v>
      </c>
      <c r="F75" s="2">
        <v>171835968.26999998</v>
      </c>
      <c r="G75" s="13">
        <v>6292.79</v>
      </c>
      <c r="H75" s="13">
        <v>37131</v>
      </c>
      <c r="I75" s="6">
        <f t="shared" si="4"/>
        <v>0.23907174660924407</v>
      </c>
      <c r="K75" s="3">
        <v>10163904</v>
      </c>
      <c r="L75" s="1">
        <v>455472</v>
      </c>
      <c r="M75" s="121">
        <f t="shared" si="5"/>
        <v>10619376</v>
      </c>
    </row>
    <row r="76" spans="1:13" x14ac:dyDescent="0.3">
      <c r="A76" t="s">
        <v>77</v>
      </c>
      <c r="B76" s="2">
        <v>58784909112.445976</v>
      </c>
      <c r="C76" s="2">
        <f t="shared" si="3"/>
        <v>14959257007.5709</v>
      </c>
      <c r="D76" s="19">
        <v>14959257007.5709</v>
      </c>
      <c r="E76" s="19" t="s">
        <v>287</v>
      </c>
      <c r="F76" s="2">
        <v>5265015359.8800001</v>
      </c>
      <c r="G76" s="13">
        <v>84894.18</v>
      </c>
      <c r="H76" s="13">
        <v>443463</v>
      </c>
      <c r="I76" s="6">
        <f t="shared" si="4"/>
        <v>0.37828921941612448</v>
      </c>
      <c r="K76" s="3">
        <v>225667523</v>
      </c>
      <c r="L76" s="1">
        <v>12509710</v>
      </c>
      <c r="M76" s="121">
        <f t="shared" si="5"/>
        <v>238177233</v>
      </c>
    </row>
    <row r="77" spans="1:13" x14ac:dyDescent="0.3">
      <c r="A77" t="s">
        <v>78</v>
      </c>
      <c r="B77" s="2">
        <v>2955324153.6391053</v>
      </c>
      <c r="C77" s="2">
        <f t="shared" si="3"/>
        <v>637001720.71099997</v>
      </c>
      <c r="D77" s="19">
        <v>637001720.71099997</v>
      </c>
      <c r="E77" s="19" t="s">
        <v>287</v>
      </c>
      <c r="F77" s="2">
        <v>357070665.13</v>
      </c>
      <c r="G77" s="13">
        <v>4193.22</v>
      </c>
      <c r="H77" s="13">
        <v>34841</v>
      </c>
      <c r="I77" s="6">
        <f t="shared" si="4"/>
        <v>0.31920244725895197</v>
      </c>
      <c r="K77" s="3">
        <v>8408324</v>
      </c>
      <c r="L77" s="1">
        <v>655387</v>
      </c>
      <c r="M77" s="121">
        <f t="shared" si="5"/>
        <v>9063711</v>
      </c>
    </row>
    <row r="78" spans="1:13" x14ac:dyDescent="0.3">
      <c r="A78" t="s">
        <v>79</v>
      </c>
      <c r="B78" s="2">
        <v>1990142500.2665949</v>
      </c>
      <c r="C78" s="2">
        <f t="shared" si="3"/>
        <v>263304355.646</v>
      </c>
      <c r="D78" s="19">
        <v>263304355.646</v>
      </c>
      <c r="E78" s="19" t="s">
        <v>287</v>
      </c>
      <c r="F78" s="2">
        <v>39861848</v>
      </c>
      <c r="G78" s="13">
        <v>868.78</v>
      </c>
      <c r="H78" s="13">
        <v>7308</v>
      </c>
      <c r="I78" s="6">
        <f t="shared" si="4"/>
        <v>0.7671577359785775</v>
      </c>
      <c r="K78" s="3">
        <v>4460937</v>
      </c>
      <c r="L78" s="1">
        <v>120313</v>
      </c>
      <c r="M78" s="121">
        <f t="shared" si="5"/>
        <v>4581250</v>
      </c>
    </row>
    <row r="79" spans="1:13" x14ac:dyDescent="0.3">
      <c r="A79" t="s">
        <v>80</v>
      </c>
      <c r="B79" s="2">
        <v>920660028.70180047</v>
      </c>
      <c r="C79" s="2">
        <f t="shared" si="3"/>
        <v>170726314</v>
      </c>
      <c r="D79" s="19">
        <v>262225223.1692</v>
      </c>
      <c r="E79" s="19">
        <v>170726314</v>
      </c>
      <c r="F79" s="2">
        <v>63749860.739999995</v>
      </c>
      <c r="G79" s="13">
        <v>1247.3599999999999</v>
      </c>
      <c r="H79" s="13">
        <v>9119</v>
      </c>
      <c r="I79" s="6">
        <f t="shared" si="4"/>
        <v>0.309010065666184</v>
      </c>
      <c r="K79" s="3">
        <v>3035403</v>
      </c>
      <c r="L79" s="1">
        <v>248331</v>
      </c>
      <c r="M79" s="121">
        <f t="shared" si="5"/>
        <v>3283734</v>
      </c>
    </row>
    <row r="80" spans="1:13" x14ac:dyDescent="0.3">
      <c r="A80" t="s">
        <v>81</v>
      </c>
      <c r="B80" s="2">
        <v>9060921998.5536594</v>
      </c>
      <c r="C80" s="2">
        <f t="shared" si="3"/>
        <v>2812842503.1476002</v>
      </c>
      <c r="D80" s="19">
        <v>2812842503.1476002</v>
      </c>
      <c r="E80" s="19" t="s">
        <v>287</v>
      </c>
      <c r="F80" s="2">
        <v>1032343545.6900001</v>
      </c>
      <c r="G80" s="13">
        <v>13981.99</v>
      </c>
      <c r="H80" s="13">
        <v>93775</v>
      </c>
      <c r="I80" s="6">
        <f t="shared" si="4"/>
        <v>0.36198276177120942</v>
      </c>
      <c r="K80" s="3">
        <v>31988854</v>
      </c>
      <c r="L80" s="1">
        <v>753996</v>
      </c>
      <c r="M80" s="121">
        <f t="shared" si="5"/>
        <v>32742850</v>
      </c>
    </row>
    <row r="81" spans="1:13" x14ac:dyDescent="0.3">
      <c r="A81" t="s">
        <v>82</v>
      </c>
      <c r="B81" s="2">
        <v>2929929490.7019277</v>
      </c>
      <c r="C81" s="2">
        <f t="shared" si="3"/>
        <v>488067915.28420001</v>
      </c>
      <c r="D81" s="19">
        <v>488067915.28420001</v>
      </c>
      <c r="E81" s="19" t="s">
        <v>287</v>
      </c>
      <c r="F81" s="2">
        <v>250483351</v>
      </c>
      <c r="G81" s="13">
        <v>2551.2600000000002</v>
      </c>
      <c r="H81" s="13">
        <v>22163</v>
      </c>
      <c r="I81" s="6">
        <f t="shared" si="4"/>
        <v>0.44984352145384798</v>
      </c>
      <c r="K81" s="3">
        <v>8500917</v>
      </c>
      <c r="L81" s="1">
        <v>519770</v>
      </c>
      <c r="M81" s="121">
        <f t="shared" si="5"/>
        <v>9020687</v>
      </c>
    </row>
    <row r="82" spans="1:13" x14ac:dyDescent="0.3">
      <c r="A82" t="s">
        <v>83</v>
      </c>
      <c r="B82" s="2">
        <v>9657180438.8506355</v>
      </c>
      <c r="C82" s="2">
        <f t="shared" si="3"/>
        <v>1949737691.8713</v>
      </c>
      <c r="D82" s="19">
        <v>1949737691.8713</v>
      </c>
      <c r="E82" s="19" t="s">
        <v>287</v>
      </c>
      <c r="F82" s="2">
        <v>538710543.17000008</v>
      </c>
      <c r="G82" s="13">
        <v>11287.29</v>
      </c>
      <c r="H82" s="13">
        <v>79134</v>
      </c>
      <c r="I82" s="6">
        <f t="shared" si="4"/>
        <v>0.36814565583094144</v>
      </c>
      <c r="K82" s="3">
        <v>24487744</v>
      </c>
      <c r="L82" s="1">
        <v>1506287</v>
      </c>
      <c r="M82" s="121">
        <f t="shared" si="5"/>
        <v>25994031</v>
      </c>
    </row>
    <row r="83" spans="1:13" x14ac:dyDescent="0.3">
      <c r="A83" t="s">
        <v>84</v>
      </c>
      <c r="B83" s="2">
        <v>2003212219.6750271</v>
      </c>
      <c r="C83" s="2">
        <f t="shared" si="3"/>
        <v>416328856.11619997</v>
      </c>
      <c r="D83" s="19">
        <v>416328856.11619997</v>
      </c>
      <c r="E83" s="19" t="s">
        <v>287</v>
      </c>
      <c r="F83" s="2">
        <v>172010922</v>
      </c>
      <c r="G83" s="13">
        <v>3849.98</v>
      </c>
      <c r="H83" s="13">
        <v>28008</v>
      </c>
      <c r="I83" s="6">
        <f t="shared" si="4"/>
        <v>0.23223293963268851</v>
      </c>
      <c r="K83" s="3">
        <v>5835096</v>
      </c>
      <c r="L83" s="1">
        <v>618948</v>
      </c>
      <c r="M83" s="121">
        <f t="shared" si="5"/>
        <v>6454044</v>
      </c>
    </row>
    <row r="84" spans="1:13" x14ac:dyDescent="0.3">
      <c r="A84" t="s">
        <v>85</v>
      </c>
      <c r="B84" s="2">
        <v>1411693443.4263144</v>
      </c>
      <c r="C84" s="2">
        <f t="shared" si="3"/>
        <v>313809705</v>
      </c>
      <c r="D84" s="19">
        <v>342553219.92299998</v>
      </c>
      <c r="E84" s="19">
        <v>313809705</v>
      </c>
      <c r="F84" s="2">
        <v>126156437.54000001</v>
      </c>
      <c r="G84" s="13">
        <v>3540.08</v>
      </c>
      <c r="H84" s="13">
        <v>22759</v>
      </c>
      <c r="I84" s="6">
        <f t="shared" si="4"/>
        <v>0.1910282577476097</v>
      </c>
      <c r="K84" s="3">
        <v>4783753</v>
      </c>
      <c r="L84" s="1">
        <v>280012</v>
      </c>
      <c r="M84" s="121">
        <f t="shared" si="5"/>
        <v>5063765</v>
      </c>
    </row>
    <row r="85" spans="1:13" x14ac:dyDescent="0.3">
      <c r="A85" t="s">
        <v>86</v>
      </c>
      <c r="B85" s="2">
        <v>5363197964.8146381</v>
      </c>
      <c r="C85" s="2">
        <f t="shared" si="3"/>
        <v>969182251.54680002</v>
      </c>
      <c r="D85" s="19">
        <v>969182251.54680002</v>
      </c>
      <c r="E85" s="19" t="s">
        <v>287</v>
      </c>
      <c r="F85" s="2">
        <v>365285841.97000003</v>
      </c>
      <c r="G85" s="13">
        <v>5832.5</v>
      </c>
      <c r="H85" s="13">
        <v>42228</v>
      </c>
      <c r="I85" s="6">
        <f t="shared" si="4"/>
        <v>0.38209791357270145</v>
      </c>
      <c r="K85" s="3">
        <v>13390245</v>
      </c>
      <c r="L85" s="1">
        <v>893496</v>
      </c>
      <c r="M85" s="121">
        <f t="shared" si="5"/>
        <v>14283741</v>
      </c>
    </row>
    <row r="86" spans="1:13" x14ac:dyDescent="0.3">
      <c r="A86" t="s">
        <v>87</v>
      </c>
      <c r="B86" s="2">
        <v>1911765583.545476</v>
      </c>
      <c r="C86" s="2">
        <f t="shared" si="3"/>
        <v>490141673.111</v>
      </c>
      <c r="D86" s="19">
        <v>490141673.111</v>
      </c>
      <c r="E86" s="19" t="s">
        <v>287</v>
      </c>
      <c r="F86" s="2">
        <v>207381453.43000001</v>
      </c>
      <c r="G86" s="13">
        <v>4402.57</v>
      </c>
      <c r="H86" s="13">
        <v>31417</v>
      </c>
      <c r="I86" s="6">
        <f t="shared" si="4"/>
        <v>0.21740986252725422</v>
      </c>
      <c r="K86" s="3">
        <v>6096724</v>
      </c>
      <c r="L86" s="1">
        <v>578955</v>
      </c>
      <c r="M86" s="121">
        <f t="shared" si="5"/>
        <v>6675679</v>
      </c>
    </row>
    <row r="87" spans="1:13" x14ac:dyDescent="0.3">
      <c r="A87" t="s">
        <v>88</v>
      </c>
      <c r="B87" s="2">
        <v>1916893450.3137805</v>
      </c>
      <c r="C87" s="2">
        <f t="shared" si="3"/>
        <v>374257292.93900001</v>
      </c>
      <c r="D87" s="19">
        <v>374257292.93900001</v>
      </c>
      <c r="E87" s="19" t="s">
        <v>287</v>
      </c>
      <c r="F87" s="2">
        <v>45382014.920000002</v>
      </c>
      <c r="G87" s="13">
        <v>2629.02</v>
      </c>
      <c r="H87" s="13">
        <v>18551</v>
      </c>
      <c r="I87" s="6">
        <f t="shared" si="4"/>
        <v>0.29629328970358543</v>
      </c>
      <c r="K87" s="3">
        <v>5081709</v>
      </c>
      <c r="L87" s="1">
        <v>377583</v>
      </c>
      <c r="M87" s="121">
        <f t="shared" si="5"/>
        <v>5459292</v>
      </c>
    </row>
    <row r="88" spans="1:13" x14ac:dyDescent="0.3">
      <c r="A88" t="s">
        <v>89</v>
      </c>
      <c r="B88" s="2">
        <v>16138769357.51502</v>
      </c>
      <c r="C88" s="2">
        <f t="shared" si="3"/>
        <v>3790488329.2743001</v>
      </c>
      <c r="D88" s="19">
        <v>3790488329.2743001</v>
      </c>
      <c r="E88" s="19" t="s">
        <v>287</v>
      </c>
      <c r="F88" s="2">
        <v>1547887315.25</v>
      </c>
      <c r="G88" s="13">
        <v>23093.59</v>
      </c>
      <c r="H88" s="13">
        <v>128998</v>
      </c>
      <c r="I88" s="6">
        <f t="shared" si="4"/>
        <v>0.36264342066552374</v>
      </c>
      <c r="K88" s="3">
        <v>54018514</v>
      </c>
      <c r="L88" s="1">
        <v>2287441</v>
      </c>
      <c r="M88" s="121">
        <f t="shared" si="5"/>
        <v>56305955</v>
      </c>
    </row>
    <row r="89" spans="1:13" x14ac:dyDescent="0.3">
      <c r="A89" t="s">
        <v>90</v>
      </c>
      <c r="B89" s="2">
        <v>17965419467.794609</v>
      </c>
      <c r="C89" s="2">
        <f t="shared" si="3"/>
        <v>4497318999.1688004</v>
      </c>
      <c r="D89" s="19">
        <v>4497318999.1688004</v>
      </c>
      <c r="E89" s="19" t="s">
        <v>287</v>
      </c>
      <c r="F89" s="2">
        <v>1094482580.3600001</v>
      </c>
      <c r="G89" s="13">
        <v>27518.55</v>
      </c>
      <c r="H89" s="13">
        <v>140176</v>
      </c>
      <c r="I89" s="6">
        <f t="shared" si="4"/>
        <v>0.34621360863867584</v>
      </c>
      <c r="K89" s="3">
        <v>61598478</v>
      </c>
      <c r="L89" s="1">
        <v>1470954</v>
      </c>
      <c r="M89" s="121">
        <f t="shared" si="5"/>
        <v>63069432</v>
      </c>
    </row>
    <row r="90" spans="1:13" x14ac:dyDescent="0.3">
      <c r="A90" t="s">
        <v>91</v>
      </c>
      <c r="B90" s="2">
        <v>2663022868.8000984</v>
      </c>
      <c r="C90" s="2">
        <f t="shared" si="3"/>
        <v>141132231</v>
      </c>
      <c r="D90" s="19">
        <v>148830153.60330001</v>
      </c>
      <c r="E90" s="19">
        <v>141132231</v>
      </c>
      <c r="F90" s="2">
        <v>29802533</v>
      </c>
      <c r="G90" s="13">
        <v>785.67</v>
      </c>
      <c r="H90" s="13">
        <v>6819</v>
      </c>
      <c r="I90" s="6">
        <f t="shared" si="4"/>
        <v>0.8</v>
      </c>
      <c r="K90" s="3">
        <v>4936182</v>
      </c>
      <c r="L90" s="1">
        <v>425576</v>
      </c>
      <c r="M90" s="121">
        <f t="shared" si="5"/>
        <v>5361758</v>
      </c>
    </row>
    <row r="91" spans="1:13" x14ac:dyDescent="0.3">
      <c r="A91" t="s">
        <v>92</v>
      </c>
      <c r="B91" s="2">
        <v>985375129.81143045</v>
      </c>
      <c r="C91" s="2">
        <f t="shared" si="3"/>
        <v>162669929.979</v>
      </c>
      <c r="D91" s="19">
        <v>162669929.979</v>
      </c>
      <c r="E91" s="19" t="s">
        <v>287</v>
      </c>
      <c r="F91" s="2">
        <v>81299438.939999998</v>
      </c>
      <c r="G91" s="13">
        <v>1022.95</v>
      </c>
      <c r="H91" s="13">
        <v>11887</v>
      </c>
      <c r="I91" s="6">
        <f t="shared" si="4"/>
        <v>0.34823698633860928</v>
      </c>
      <c r="K91" s="3">
        <v>3072435</v>
      </c>
      <c r="L91" s="1">
        <v>442901</v>
      </c>
      <c r="M91" s="121">
        <f t="shared" si="5"/>
        <v>3515336</v>
      </c>
    </row>
    <row r="92" spans="1:13" x14ac:dyDescent="0.3">
      <c r="A92" t="s">
        <v>93</v>
      </c>
      <c r="B92" s="2">
        <v>2890893582.5284963</v>
      </c>
      <c r="C92" s="2">
        <f t="shared" si="3"/>
        <v>753638783.65439999</v>
      </c>
      <c r="D92" s="19">
        <v>753638783.65439999</v>
      </c>
      <c r="E92" s="19" t="s">
        <v>287</v>
      </c>
      <c r="F92" s="2">
        <v>531489881.39999998</v>
      </c>
      <c r="G92" s="13">
        <v>5936.11</v>
      </c>
      <c r="H92" s="13">
        <v>44051</v>
      </c>
      <c r="I92" s="6">
        <f t="shared" si="4"/>
        <v>0.2623253222280752</v>
      </c>
      <c r="K92" s="3">
        <v>10175097</v>
      </c>
      <c r="L92" s="1">
        <v>824491</v>
      </c>
      <c r="M92" s="121">
        <f t="shared" si="5"/>
        <v>10999588</v>
      </c>
    </row>
    <row r="93" spans="1:13" x14ac:dyDescent="0.3">
      <c r="A93" t="s">
        <v>94</v>
      </c>
      <c r="B93" s="2">
        <v>5684050581.9539289</v>
      </c>
      <c r="C93" s="2">
        <f t="shared" si="3"/>
        <v>980824172.51600003</v>
      </c>
      <c r="D93" s="19">
        <v>980824172.51600003</v>
      </c>
      <c r="E93" s="19" t="s">
        <v>287</v>
      </c>
      <c r="F93" s="2">
        <v>369480595.10000002</v>
      </c>
      <c r="G93" s="13">
        <v>5332.53</v>
      </c>
      <c r="H93" s="13">
        <v>38829</v>
      </c>
      <c r="I93" s="6">
        <f t="shared" si="4"/>
        <v>0.43334888982548975</v>
      </c>
      <c r="K93" s="3">
        <v>13159.998</v>
      </c>
      <c r="L93" s="1">
        <v>816030</v>
      </c>
      <c r="M93" s="121">
        <f t="shared" si="5"/>
        <v>829189.99800000002</v>
      </c>
    </row>
    <row r="94" spans="1:13" x14ac:dyDescent="0.3">
      <c r="A94" t="s">
        <v>95</v>
      </c>
      <c r="B94" s="2">
        <v>5232344009.2171783</v>
      </c>
      <c r="C94" s="2">
        <f t="shared" si="3"/>
        <v>1115915927.3299999</v>
      </c>
      <c r="D94" s="19">
        <v>1223949400.3057001</v>
      </c>
      <c r="E94" s="19">
        <v>1115915927.3299999</v>
      </c>
      <c r="F94" s="2">
        <v>644170449.15999997</v>
      </c>
      <c r="G94" s="13">
        <v>7089.57</v>
      </c>
      <c r="H94" s="13">
        <v>54130</v>
      </c>
      <c r="I94" s="6">
        <f t="shared" si="4"/>
        <v>0.3423707041272841</v>
      </c>
      <c r="K94" s="3">
        <v>15171873</v>
      </c>
      <c r="L94" s="1">
        <v>1111219</v>
      </c>
      <c r="M94" s="121">
        <f t="shared" si="5"/>
        <v>16283092</v>
      </c>
    </row>
    <row r="95" spans="1:13" x14ac:dyDescent="0.3">
      <c r="A95" t="s">
        <v>96</v>
      </c>
      <c r="B95" s="2">
        <v>2163936548.5050507</v>
      </c>
      <c r="C95" s="2">
        <f t="shared" si="3"/>
        <v>311426457</v>
      </c>
      <c r="D95" s="19">
        <v>311426457</v>
      </c>
      <c r="E95" s="19" t="s">
        <v>287</v>
      </c>
      <c r="F95" s="2">
        <v>67041385.469999999</v>
      </c>
      <c r="G95" s="13">
        <v>1561.98</v>
      </c>
      <c r="H95" s="13">
        <v>14145</v>
      </c>
      <c r="I95" s="6">
        <f t="shared" si="4"/>
        <v>0.47434265291071687</v>
      </c>
      <c r="K95" s="3">
        <v>8003426</v>
      </c>
      <c r="L95" s="1">
        <v>967625</v>
      </c>
      <c r="M95" s="121">
        <f t="shared" si="5"/>
        <v>8971051</v>
      </c>
    </row>
    <row r="96" spans="1:13" x14ac:dyDescent="0.3">
      <c r="A96" t="s">
        <v>97</v>
      </c>
      <c r="B96" s="2">
        <v>3514761351.4171143</v>
      </c>
      <c r="C96" s="2">
        <f t="shared" si="3"/>
        <v>529421915</v>
      </c>
      <c r="D96" s="19">
        <v>548513204.97679996</v>
      </c>
      <c r="E96" s="19">
        <v>529421915</v>
      </c>
      <c r="F96" s="2">
        <v>285000504.39999998</v>
      </c>
      <c r="G96" s="13">
        <v>5753.71</v>
      </c>
      <c r="H96" s="13">
        <v>39943</v>
      </c>
      <c r="I96" s="6">
        <f t="shared" si="4"/>
        <v>0.24670271959151185</v>
      </c>
      <c r="K96" s="3">
        <v>9447503</v>
      </c>
      <c r="L96" s="1">
        <v>998027</v>
      </c>
      <c r="M96" s="121">
        <f t="shared" si="5"/>
        <v>10445530</v>
      </c>
    </row>
    <row r="97" spans="1:13" x14ac:dyDescent="0.3">
      <c r="A97" t="s">
        <v>98</v>
      </c>
      <c r="B97" s="2">
        <v>2794606044.1296806</v>
      </c>
      <c r="C97" s="2">
        <f t="shared" si="3"/>
        <v>514860771.97000003</v>
      </c>
      <c r="D97" s="19">
        <v>514860771.97000003</v>
      </c>
      <c r="E97" s="19" t="s">
        <v>287</v>
      </c>
      <c r="F97" s="2">
        <v>379537280.75999999</v>
      </c>
      <c r="G97" s="13">
        <v>4081.37</v>
      </c>
      <c r="H97" s="13">
        <v>28743</v>
      </c>
      <c r="I97" s="6">
        <f t="shared" si="4"/>
        <v>0.31448968318149079</v>
      </c>
      <c r="K97" s="3">
        <v>8001643</v>
      </c>
      <c r="L97" s="1">
        <v>533900</v>
      </c>
      <c r="M97" s="121">
        <f t="shared" si="5"/>
        <v>8535543</v>
      </c>
    </row>
    <row r="98" spans="1:13" x14ac:dyDescent="0.3">
      <c r="A98" t="s">
        <v>99</v>
      </c>
      <c r="B98" s="2">
        <v>9444497028.5649796</v>
      </c>
      <c r="C98" s="2">
        <f t="shared" si="3"/>
        <v>2061899229.4935</v>
      </c>
      <c r="D98" s="19">
        <v>2061899229.4935</v>
      </c>
      <c r="E98" s="19" t="s">
        <v>287</v>
      </c>
      <c r="F98" s="2">
        <v>922303789.76999998</v>
      </c>
      <c r="G98" s="13">
        <v>12521.81</v>
      </c>
      <c r="H98" s="13">
        <v>69466</v>
      </c>
      <c r="I98" s="6">
        <f t="shared" si="4"/>
        <v>0.38218451289882704</v>
      </c>
      <c r="K98" s="3">
        <v>30287886</v>
      </c>
      <c r="L98" s="1">
        <v>270724</v>
      </c>
      <c r="M98" s="121">
        <f t="shared" si="5"/>
        <v>30558610</v>
      </c>
    </row>
    <row r="99" spans="1:13" x14ac:dyDescent="0.3">
      <c r="A99" t="s">
        <v>100</v>
      </c>
      <c r="B99" s="2">
        <v>38423290440.087097</v>
      </c>
      <c r="C99" s="2">
        <f t="shared" si="3"/>
        <v>8228588435.1715498</v>
      </c>
      <c r="D99" s="19">
        <v>8228588435.1715498</v>
      </c>
      <c r="E99" s="19" t="s">
        <v>287</v>
      </c>
      <c r="F99" s="2">
        <v>2088861531.45</v>
      </c>
      <c r="G99" s="13">
        <v>14340.94</v>
      </c>
      <c r="H99" s="13">
        <v>159571</v>
      </c>
      <c r="I99" s="6">
        <f t="shared" si="4"/>
        <v>0.8</v>
      </c>
      <c r="K99" s="3">
        <v>85470768</v>
      </c>
      <c r="L99" s="1">
        <v>8307874</v>
      </c>
      <c r="M99" s="121">
        <f t="shared" si="5"/>
        <v>93778642</v>
      </c>
    </row>
    <row r="100" spans="1:13" x14ac:dyDescent="0.3">
      <c r="A100" t="s">
        <v>101</v>
      </c>
      <c r="B100" s="2">
        <v>1179371645.864876</v>
      </c>
      <c r="C100" s="2">
        <f t="shared" si="3"/>
        <v>251675249</v>
      </c>
      <c r="D100" s="19">
        <v>384903624.04049999</v>
      </c>
      <c r="E100" s="19">
        <v>251675249</v>
      </c>
      <c r="F100" s="2">
        <v>335454753.24000001</v>
      </c>
      <c r="G100" s="13">
        <v>2193.2199999999998</v>
      </c>
      <c r="H100" s="13">
        <v>17625</v>
      </c>
      <c r="I100" s="6">
        <f t="shared" si="4"/>
        <v>0.29142926646338535</v>
      </c>
      <c r="K100" s="3">
        <v>4317260</v>
      </c>
      <c r="L100" s="1">
        <v>584492</v>
      </c>
      <c r="M100" s="121">
        <f t="shared" si="5"/>
        <v>4901752</v>
      </c>
    </row>
    <row r="101" spans="1:13" x14ac:dyDescent="0.3">
      <c r="A101" t="s">
        <v>102</v>
      </c>
      <c r="B101" s="2">
        <v>345560427.11530399</v>
      </c>
      <c r="C101" s="2">
        <f t="shared" si="3"/>
        <v>97331045.839000002</v>
      </c>
      <c r="D101" s="19">
        <v>97331045.839000002</v>
      </c>
      <c r="E101" s="19" t="s">
        <v>287</v>
      </c>
      <c r="F101" s="2">
        <v>33497023</v>
      </c>
      <c r="G101" s="13">
        <v>965.38</v>
      </c>
      <c r="H101" s="13">
        <v>6817</v>
      </c>
      <c r="I101" s="6">
        <f t="shared" si="4"/>
        <v>0.18489141359198621</v>
      </c>
      <c r="K101" s="3">
        <v>1056866</v>
      </c>
      <c r="L101" s="1">
        <v>105566</v>
      </c>
      <c r="M101" s="121">
        <f t="shared" si="5"/>
        <v>1162432</v>
      </c>
    </row>
    <row r="102" spans="1:13" x14ac:dyDescent="0.3">
      <c r="A102" t="s">
        <v>103</v>
      </c>
      <c r="B102" s="2">
        <v>6170868791</v>
      </c>
      <c r="C102" s="2">
        <f t="shared" si="3"/>
        <v>1469433425.3836</v>
      </c>
      <c r="D102" s="19">
        <v>1469433425.3836</v>
      </c>
      <c r="E102" s="19" t="s">
        <v>287</v>
      </c>
      <c r="F102" s="2">
        <v>959435495.89999998</v>
      </c>
      <c r="G102" s="13">
        <v>4065.74</v>
      </c>
      <c r="H102" s="13">
        <v>48210</v>
      </c>
      <c r="I102" s="6">
        <f t="shared" si="4"/>
        <v>0.67713994910845343</v>
      </c>
      <c r="K102" s="3">
        <v>18134639</v>
      </c>
      <c r="L102" s="1">
        <v>2184797</v>
      </c>
      <c r="M102" s="121">
        <f t="shared" si="5"/>
        <v>20319436</v>
      </c>
    </row>
    <row r="103" spans="1:13" x14ac:dyDescent="0.3">
      <c r="A103" t="s">
        <v>104</v>
      </c>
      <c r="B103" s="2">
        <v>1696534293.2860086</v>
      </c>
      <c r="C103" s="2">
        <f t="shared" si="3"/>
        <v>387877356.31199998</v>
      </c>
      <c r="D103" s="19">
        <v>387877356.31199998</v>
      </c>
      <c r="E103" s="19" t="s">
        <v>287</v>
      </c>
      <c r="F103" s="2">
        <v>720733536.39999998</v>
      </c>
      <c r="G103" s="13">
        <v>2769.82</v>
      </c>
      <c r="H103" s="13">
        <v>17215</v>
      </c>
      <c r="I103" s="6">
        <f t="shared" si="4"/>
        <v>0.41792533924650843</v>
      </c>
      <c r="K103" s="3">
        <v>7876872</v>
      </c>
      <c r="L103" s="1">
        <v>618517</v>
      </c>
      <c r="M103" s="121">
        <f t="shared" si="5"/>
        <v>8495389</v>
      </c>
    </row>
    <row r="104" spans="1:13" x14ac:dyDescent="0.3">
      <c r="A104" t="s">
        <v>105</v>
      </c>
      <c r="B104" s="2">
        <v>557512650.10739708</v>
      </c>
      <c r="C104" s="2">
        <f t="shared" si="3"/>
        <v>99965761.503000006</v>
      </c>
      <c r="D104" s="19">
        <v>99965761.503000006</v>
      </c>
      <c r="E104" s="19" t="s">
        <v>287</v>
      </c>
      <c r="F104" s="2">
        <v>112746567.90000001</v>
      </c>
      <c r="G104" s="13">
        <v>940.25</v>
      </c>
      <c r="H104" s="13">
        <v>6198</v>
      </c>
      <c r="I104" s="6">
        <f t="shared" si="4"/>
        <v>0.29806575256176171</v>
      </c>
      <c r="K104" s="3">
        <v>1947944</v>
      </c>
      <c r="L104" s="1">
        <v>170880</v>
      </c>
      <c r="M104" s="121">
        <f t="shared" si="5"/>
        <v>2118824</v>
      </c>
    </row>
    <row r="105" spans="1:13" x14ac:dyDescent="0.3">
      <c r="A105" t="s">
        <v>106</v>
      </c>
      <c r="B105" s="2">
        <v>2328316143.3940949</v>
      </c>
      <c r="C105" s="2">
        <f t="shared" si="3"/>
        <v>670380470.00999999</v>
      </c>
      <c r="D105" s="19">
        <v>766189303.08739996</v>
      </c>
      <c r="E105" s="19">
        <v>670380470.00999999</v>
      </c>
      <c r="F105" s="2">
        <v>770375644.50999999</v>
      </c>
      <c r="G105" s="13">
        <v>5935.16</v>
      </c>
      <c r="H105" s="13">
        <v>42544</v>
      </c>
      <c r="I105" s="6">
        <f t="shared" si="4"/>
        <v>0.2537621932783744</v>
      </c>
      <c r="K105" s="3">
        <v>9540091</v>
      </c>
      <c r="L105" s="1">
        <v>1840428</v>
      </c>
      <c r="M105" s="121">
        <f t="shared" si="5"/>
        <v>11380519</v>
      </c>
    </row>
    <row r="106" spans="1:13" x14ac:dyDescent="0.3">
      <c r="A106" t="s">
        <v>107</v>
      </c>
      <c r="B106" s="2">
        <v>4024378159.3447037</v>
      </c>
      <c r="C106" s="2">
        <f t="shared" si="3"/>
        <v>876604020</v>
      </c>
      <c r="D106" s="19">
        <v>919607553.07910001</v>
      </c>
      <c r="E106" s="19">
        <v>876604020</v>
      </c>
      <c r="F106" s="2">
        <v>322397956.84000003</v>
      </c>
      <c r="G106" s="13">
        <v>2456.87</v>
      </c>
      <c r="H106" s="13">
        <v>14183</v>
      </c>
      <c r="I106" s="6">
        <f t="shared" si="4"/>
        <v>0.8</v>
      </c>
      <c r="K106" s="3">
        <v>15181.297</v>
      </c>
      <c r="L106" s="1">
        <v>49161</v>
      </c>
      <c r="M106" s="121">
        <f t="shared" si="5"/>
        <v>64342.296999999999</v>
      </c>
    </row>
    <row r="107" spans="1:13" x14ac:dyDescent="0.3">
      <c r="A107" t="s">
        <v>108</v>
      </c>
      <c r="B107" s="2">
        <v>4271986394.4661479</v>
      </c>
      <c r="C107" s="2">
        <f t="shared" si="3"/>
        <v>778307468.14999998</v>
      </c>
      <c r="D107" s="19">
        <v>811835762.94000006</v>
      </c>
      <c r="E107" s="19">
        <v>778307468.14999998</v>
      </c>
      <c r="F107" s="2">
        <v>916785104.69000006</v>
      </c>
      <c r="G107" s="13">
        <v>3300.13</v>
      </c>
      <c r="H107" s="13">
        <v>26969</v>
      </c>
      <c r="I107" s="6">
        <f t="shared" si="4"/>
        <v>0.61936474186178847</v>
      </c>
      <c r="K107" s="3">
        <v>14644625</v>
      </c>
      <c r="L107" s="1">
        <v>1438118</v>
      </c>
      <c r="M107" s="121">
        <f t="shared" si="5"/>
        <v>16082743</v>
      </c>
    </row>
    <row r="108" spans="1:13" x14ac:dyDescent="0.3">
      <c r="A108" t="s">
        <v>109</v>
      </c>
      <c r="B108" s="2">
        <v>453336162.24122763</v>
      </c>
      <c r="C108" s="2">
        <f t="shared" si="3"/>
        <v>108204113</v>
      </c>
      <c r="D108" s="19">
        <v>114449088.48999999</v>
      </c>
      <c r="E108" s="19">
        <v>108204113</v>
      </c>
      <c r="F108" s="2">
        <v>203878778.90000001</v>
      </c>
      <c r="G108" s="13">
        <v>1304.99</v>
      </c>
      <c r="H108" s="13">
        <v>7043</v>
      </c>
      <c r="I108" s="6">
        <f t="shared" si="4"/>
        <v>0.25802541200229212</v>
      </c>
      <c r="K108" s="3">
        <v>2131300</v>
      </c>
      <c r="L108" s="1">
        <v>335450</v>
      </c>
      <c r="M108" s="121">
        <f t="shared" si="5"/>
        <v>2466750</v>
      </c>
    </row>
    <row r="109" spans="1:13" x14ac:dyDescent="0.3">
      <c r="A109" t="s">
        <v>110</v>
      </c>
      <c r="B109" s="2">
        <v>10887152456.34535</v>
      </c>
      <c r="C109" s="2">
        <f t="shared" si="3"/>
        <v>2562675320.6286998</v>
      </c>
      <c r="D109" s="19">
        <v>2562675320.6286998</v>
      </c>
      <c r="E109" s="19" t="s">
        <v>287</v>
      </c>
      <c r="F109" s="2">
        <v>1396275489.76</v>
      </c>
      <c r="G109" s="13">
        <v>19748.560000000001</v>
      </c>
      <c r="H109" s="13">
        <v>138626</v>
      </c>
      <c r="I109" s="6">
        <f t="shared" si="4"/>
        <v>0.2740805402283587</v>
      </c>
      <c r="K109" s="3">
        <v>32993826</v>
      </c>
      <c r="L109" s="1">
        <v>3805939</v>
      </c>
      <c r="M109" s="121">
        <f t="shared" si="5"/>
        <v>36799765</v>
      </c>
    </row>
    <row r="110" spans="1:13" x14ac:dyDescent="0.3">
      <c r="A110" t="s">
        <v>111</v>
      </c>
      <c r="B110" s="2">
        <v>4097626380.4441514</v>
      </c>
      <c r="C110" s="2">
        <f t="shared" si="3"/>
        <v>730434024.17540002</v>
      </c>
      <c r="D110" s="19">
        <v>730434024.17540002</v>
      </c>
      <c r="E110" s="19" t="s">
        <v>287</v>
      </c>
      <c r="F110" s="2">
        <v>1194530338.3800001</v>
      </c>
      <c r="G110" s="13">
        <v>5522.56</v>
      </c>
      <c r="H110" s="13">
        <v>53875</v>
      </c>
      <c r="I110" s="6">
        <f t="shared" si="4"/>
        <v>0.3645175100705772</v>
      </c>
      <c r="K110" s="3">
        <v>15734032</v>
      </c>
      <c r="L110" s="1">
        <v>2968049</v>
      </c>
      <c r="M110" s="121">
        <f t="shared" si="5"/>
        <v>18702081</v>
      </c>
    </row>
    <row r="111" spans="1:13" x14ac:dyDescent="0.3">
      <c r="A111" t="s">
        <v>112</v>
      </c>
      <c r="B111" s="2">
        <v>1607070138.8651245</v>
      </c>
      <c r="C111" s="2">
        <f t="shared" si="3"/>
        <v>352445011.93400002</v>
      </c>
      <c r="D111" s="19">
        <v>352445011.93400002</v>
      </c>
      <c r="E111" s="19" t="s">
        <v>287</v>
      </c>
      <c r="F111" s="2">
        <v>171716894.99000001</v>
      </c>
      <c r="G111" s="13">
        <v>4007.24</v>
      </c>
      <c r="H111" s="13">
        <v>22984</v>
      </c>
      <c r="I111" s="6">
        <f t="shared" si="4"/>
        <v>0.20321233477629885</v>
      </c>
      <c r="K111" s="3">
        <v>5482602</v>
      </c>
      <c r="L111" s="1">
        <v>904352</v>
      </c>
      <c r="M111" s="121">
        <f t="shared" si="5"/>
        <v>6386954</v>
      </c>
    </row>
    <row r="112" spans="1:13" x14ac:dyDescent="0.3">
      <c r="A112" t="s">
        <v>113</v>
      </c>
      <c r="B112" s="2">
        <v>5439315296.7653093</v>
      </c>
      <c r="C112" s="2">
        <f t="shared" si="3"/>
        <v>1528762531.7393999</v>
      </c>
      <c r="D112" s="19">
        <v>1528762531.7393999</v>
      </c>
      <c r="E112" s="19" t="s">
        <v>287</v>
      </c>
      <c r="F112" s="2">
        <v>1353815268.71</v>
      </c>
      <c r="G112" s="13">
        <v>8009.13</v>
      </c>
      <c r="H112" s="13">
        <v>78675</v>
      </c>
      <c r="I112" s="6">
        <f t="shared" si="4"/>
        <v>0.37004800374503682</v>
      </c>
      <c r="K112" s="3">
        <v>18594.475999999999</v>
      </c>
      <c r="L112" s="1">
        <v>2483483</v>
      </c>
      <c r="M112" s="121">
        <f t="shared" si="5"/>
        <v>2502077.4759999998</v>
      </c>
    </row>
    <row r="113" spans="1:13" x14ac:dyDescent="0.3">
      <c r="A113" t="s">
        <v>114</v>
      </c>
      <c r="B113" s="2">
        <v>682772063.3787204</v>
      </c>
      <c r="C113" s="2">
        <f t="shared" si="3"/>
        <v>223294994</v>
      </c>
      <c r="D113" s="19">
        <v>242689464.79300001</v>
      </c>
      <c r="E113" s="19">
        <v>223294994</v>
      </c>
      <c r="F113" s="2">
        <v>155265380</v>
      </c>
      <c r="G113" s="13">
        <v>2056.9299999999998</v>
      </c>
      <c r="H113" s="13">
        <v>13474</v>
      </c>
      <c r="I113" s="6">
        <f t="shared" si="4"/>
        <v>0.21267156813495758</v>
      </c>
      <c r="K113" s="3">
        <v>2611013</v>
      </c>
      <c r="L113" s="1">
        <v>434990</v>
      </c>
      <c r="M113" s="121">
        <f t="shared" si="5"/>
        <v>3046003</v>
      </c>
    </row>
    <row r="114" spans="1:13" x14ac:dyDescent="0.3">
      <c r="A114" t="s">
        <v>115</v>
      </c>
      <c r="B114" s="2">
        <v>14918461774.952984</v>
      </c>
      <c r="C114" s="2">
        <f t="shared" si="3"/>
        <v>3437102838.1799998</v>
      </c>
      <c r="D114" s="19">
        <v>3546295431.0588002</v>
      </c>
      <c r="E114" s="19">
        <v>3437102838.1799998</v>
      </c>
      <c r="F114" s="2">
        <v>2082466487.9000001</v>
      </c>
      <c r="G114" s="13">
        <v>27253.040000000001</v>
      </c>
      <c r="H114" s="13">
        <v>183454</v>
      </c>
      <c r="I114" s="6">
        <f t="shared" si="4"/>
        <v>0.27714650323999734</v>
      </c>
      <c r="K114" s="3">
        <v>48779796</v>
      </c>
      <c r="L114" s="1">
        <v>6569800</v>
      </c>
      <c r="M114" s="121">
        <f t="shared" si="5"/>
        <v>55349596</v>
      </c>
    </row>
    <row r="115" spans="1:13" x14ac:dyDescent="0.3">
      <c r="A115" t="s">
        <v>116</v>
      </c>
      <c r="B115" s="2">
        <v>18988098325.460701</v>
      </c>
      <c r="C115" s="2">
        <f t="shared" si="3"/>
        <v>4022142530.6399999</v>
      </c>
      <c r="D115" s="19">
        <v>4202374122.6360998</v>
      </c>
      <c r="E115" s="19">
        <v>4022142530.6399999</v>
      </c>
      <c r="F115" s="2">
        <v>2671631729.8900003</v>
      </c>
      <c r="G115" s="13">
        <v>29606.81</v>
      </c>
      <c r="H115" s="13">
        <v>247189</v>
      </c>
      <c r="I115" s="6">
        <f t="shared" si="4"/>
        <v>0.29487488644099058</v>
      </c>
      <c r="K115" s="3">
        <v>53781279</v>
      </c>
      <c r="L115" s="1">
        <v>8932755</v>
      </c>
      <c r="M115" s="121">
        <f t="shared" si="5"/>
        <v>62714034</v>
      </c>
    </row>
    <row r="116" spans="1:13" x14ac:dyDescent="0.3">
      <c r="A116" t="s">
        <v>117</v>
      </c>
      <c r="B116" s="2">
        <v>261967543.05828512</v>
      </c>
      <c r="C116" s="2">
        <f t="shared" si="3"/>
        <v>72430233</v>
      </c>
      <c r="D116" s="19">
        <v>77024767.133000001</v>
      </c>
      <c r="E116" s="19">
        <v>72430233</v>
      </c>
      <c r="F116" s="2">
        <v>150625617.25999999</v>
      </c>
      <c r="G116" s="13">
        <v>813.5</v>
      </c>
      <c r="H116" s="13">
        <v>3946</v>
      </c>
      <c r="I116" s="6">
        <f t="shared" si="4"/>
        <v>0.28629077098043826</v>
      </c>
      <c r="K116" s="3">
        <v>1367970</v>
      </c>
      <c r="L116" s="1">
        <v>133718</v>
      </c>
      <c r="M116" s="121">
        <f t="shared" si="5"/>
        <v>1501688</v>
      </c>
    </row>
    <row r="117" spans="1:13" s="4" customFormat="1" x14ac:dyDescent="0.3">
      <c r="A117" s="4" t="s">
        <v>118</v>
      </c>
      <c r="B117" s="8">
        <v>1948638534.539422</v>
      </c>
      <c r="C117" s="2">
        <f t="shared" si="3"/>
        <v>444713943.79000002</v>
      </c>
      <c r="D117" s="19">
        <v>460268177.3951</v>
      </c>
      <c r="E117" s="19">
        <v>444713943.79000002</v>
      </c>
      <c r="F117" s="8">
        <v>302220885.73000002</v>
      </c>
      <c r="G117" s="14">
        <v>3871.02</v>
      </c>
      <c r="H117" s="14">
        <v>32057</v>
      </c>
      <c r="I117" s="6">
        <f t="shared" si="4"/>
        <v>0.24215095238459511</v>
      </c>
      <c r="K117" s="125">
        <v>6223128</v>
      </c>
      <c r="L117" s="126">
        <v>1369668</v>
      </c>
      <c r="M117" s="121">
        <f t="shared" si="5"/>
        <v>7592796</v>
      </c>
    </row>
    <row r="118" spans="1:13" x14ac:dyDescent="0.3">
      <c r="A118" t="s">
        <v>119</v>
      </c>
      <c r="B118" s="2">
        <v>7517722515.0845079</v>
      </c>
      <c r="C118" s="2">
        <f t="shared" si="3"/>
        <v>1612338820.71</v>
      </c>
      <c r="D118" s="19">
        <v>1674210245.8754001</v>
      </c>
      <c r="E118" s="19">
        <v>1612338820.71</v>
      </c>
      <c r="F118" s="2">
        <v>619199125.87</v>
      </c>
      <c r="G118" s="13">
        <v>14003.22</v>
      </c>
      <c r="H118" s="13">
        <v>96874</v>
      </c>
      <c r="I118" s="6">
        <f t="shared" si="4"/>
        <v>0.24540682309171774</v>
      </c>
      <c r="K118" s="3">
        <v>21520708</v>
      </c>
      <c r="L118" s="1">
        <v>3091879</v>
      </c>
      <c r="M118" s="121">
        <f t="shared" si="5"/>
        <v>24612587</v>
      </c>
    </row>
    <row r="119" spans="1:13" x14ac:dyDescent="0.3">
      <c r="A119" t="s">
        <v>120</v>
      </c>
      <c r="B119" s="2">
        <v>871874958.59416163</v>
      </c>
      <c r="C119" s="2">
        <f t="shared" si="3"/>
        <v>234197351.331</v>
      </c>
      <c r="D119" s="19">
        <v>234197351.331</v>
      </c>
      <c r="E119" s="19" t="s">
        <v>287</v>
      </c>
      <c r="F119" s="2">
        <v>79433243.930000007</v>
      </c>
      <c r="G119" s="13">
        <v>1599.41</v>
      </c>
      <c r="H119" s="13">
        <v>17420</v>
      </c>
      <c r="I119" s="6">
        <f t="shared" si="4"/>
        <v>0.24285772191540086</v>
      </c>
      <c r="K119" s="3">
        <v>2601744</v>
      </c>
      <c r="L119" s="1">
        <v>141106</v>
      </c>
      <c r="M119" s="121">
        <f t="shared" si="5"/>
        <v>2742850</v>
      </c>
    </row>
    <row r="120" spans="1:13" x14ac:dyDescent="0.3">
      <c r="A120" t="s">
        <v>121</v>
      </c>
      <c r="B120" s="2">
        <v>22953530783.923157</v>
      </c>
      <c r="C120" s="2">
        <f t="shared" si="3"/>
        <v>6082601291.6999998</v>
      </c>
      <c r="D120" s="19">
        <v>6360087630.6898403</v>
      </c>
      <c r="E120" s="19">
        <v>6082601291.6999998</v>
      </c>
      <c r="F120" s="2">
        <v>2672449738.96</v>
      </c>
      <c r="G120" s="13">
        <v>21729.72</v>
      </c>
      <c r="H120" s="13">
        <v>217938</v>
      </c>
      <c r="I120" s="6">
        <f t="shared" si="4"/>
        <v>0.49065697135138303</v>
      </c>
      <c r="K120" s="3">
        <v>83095434</v>
      </c>
      <c r="L120" s="1">
        <v>14993546</v>
      </c>
      <c r="M120" s="121">
        <f t="shared" si="5"/>
        <v>98088980</v>
      </c>
    </row>
    <row r="121" spans="1:13" x14ac:dyDescent="0.3">
      <c r="A121" t="s">
        <v>122</v>
      </c>
      <c r="B121" s="2">
        <v>7708082338.1303196</v>
      </c>
      <c r="C121" s="2">
        <f t="shared" si="3"/>
        <v>2074923527.4202001</v>
      </c>
      <c r="D121" s="19">
        <v>2074923527.4202001</v>
      </c>
      <c r="E121" s="19" t="s">
        <v>287</v>
      </c>
      <c r="F121" s="2">
        <v>1843019507.3299999</v>
      </c>
      <c r="G121" s="13">
        <v>12791.44</v>
      </c>
      <c r="H121" s="13">
        <v>99681</v>
      </c>
      <c r="I121" s="6">
        <f t="shared" si="4"/>
        <v>0.34148431653520306</v>
      </c>
      <c r="K121" s="3">
        <v>29291012</v>
      </c>
      <c r="L121" s="1">
        <v>5199783</v>
      </c>
      <c r="M121" s="121">
        <f t="shared" si="5"/>
        <v>34490795</v>
      </c>
    </row>
    <row r="122" spans="1:13" x14ac:dyDescent="0.3">
      <c r="A122" t="s">
        <v>123</v>
      </c>
      <c r="B122" s="2">
        <v>1921277548.7354288</v>
      </c>
      <c r="C122" s="2">
        <f t="shared" si="3"/>
        <v>521727987.49699998</v>
      </c>
      <c r="D122" s="19">
        <v>521727987.49699998</v>
      </c>
      <c r="E122" s="19" t="s">
        <v>287</v>
      </c>
      <c r="F122" s="2">
        <v>364671682.99000001</v>
      </c>
      <c r="G122" s="13">
        <v>2535.46</v>
      </c>
      <c r="H122" s="13">
        <v>24542</v>
      </c>
      <c r="I122" s="6">
        <f t="shared" si="4"/>
        <v>0.38670731811463005</v>
      </c>
      <c r="K122" s="3">
        <v>5853482</v>
      </c>
      <c r="L122" s="1">
        <v>658383</v>
      </c>
      <c r="M122" s="121">
        <f t="shared" si="5"/>
        <v>6511865</v>
      </c>
    </row>
    <row r="123" spans="1:13" x14ac:dyDescent="0.3">
      <c r="A123" t="s">
        <v>124</v>
      </c>
      <c r="B123" s="2">
        <v>10098793805.731142</v>
      </c>
      <c r="C123" s="2">
        <f t="shared" si="3"/>
        <v>2185764378.1700001</v>
      </c>
      <c r="D123" s="19">
        <v>2253999697.7902002</v>
      </c>
      <c r="E123" s="19">
        <v>2185764378.1700001</v>
      </c>
      <c r="F123" s="2">
        <v>821340720.88</v>
      </c>
      <c r="G123" s="13">
        <v>13836.67</v>
      </c>
      <c r="H123" s="13">
        <v>90426</v>
      </c>
      <c r="I123" s="6">
        <f t="shared" si="4"/>
        <v>0.34081334610863023</v>
      </c>
      <c r="K123" s="3">
        <v>28940950</v>
      </c>
      <c r="L123" s="1">
        <v>2317484</v>
      </c>
      <c r="M123" s="121">
        <f t="shared" si="5"/>
        <v>31258434</v>
      </c>
    </row>
    <row r="124" spans="1:13" x14ac:dyDescent="0.3">
      <c r="A124" t="s">
        <v>125</v>
      </c>
      <c r="B124" s="2">
        <v>57617510275.98877</v>
      </c>
      <c r="C124" s="2">
        <f t="shared" si="3"/>
        <v>12921948503.7379</v>
      </c>
      <c r="D124" s="19">
        <v>12921948503.7379</v>
      </c>
      <c r="E124" s="19" t="s">
        <v>287</v>
      </c>
      <c r="F124" s="2">
        <v>5374616764.1099997</v>
      </c>
      <c r="G124" s="13">
        <v>67889.72</v>
      </c>
      <c r="H124" s="13">
        <v>453500</v>
      </c>
      <c r="I124" s="6">
        <f t="shared" si="4"/>
        <v>0.40453509874897092</v>
      </c>
      <c r="K124" s="3">
        <v>159480784</v>
      </c>
      <c r="L124" s="1">
        <v>7635816</v>
      </c>
      <c r="M124" s="121">
        <f t="shared" si="5"/>
        <v>167116600</v>
      </c>
    </row>
    <row r="125" spans="1:13" x14ac:dyDescent="0.3">
      <c r="A125" t="s">
        <v>126</v>
      </c>
      <c r="B125" s="2">
        <v>1960997755.8064194</v>
      </c>
      <c r="C125" s="2">
        <f t="shared" si="3"/>
        <v>436032421.53399998</v>
      </c>
      <c r="D125" s="19">
        <v>436032421.53399998</v>
      </c>
      <c r="E125" s="19" t="s">
        <v>287</v>
      </c>
      <c r="F125" s="2">
        <v>507989002.38999999</v>
      </c>
      <c r="G125" s="13">
        <v>3041.12</v>
      </c>
      <c r="H125" s="13">
        <v>21795</v>
      </c>
      <c r="I125" s="6">
        <f t="shared" si="4"/>
        <v>0.35773676399412419</v>
      </c>
      <c r="K125" s="3">
        <v>6355509</v>
      </c>
      <c r="L125" s="1">
        <v>731044</v>
      </c>
      <c r="M125" s="121">
        <f t="shared" si="5"/>
        <v>7086553</v>
      </c>
    </row>
    <row r="126" spans="1:13" x14ac:dyDescent="0.3">
      <c r="A126" t="s">
        <v>127</v>
      </c>
      <c r="B126" s="2">
        <v>1847992755.7282796</v>
      </c>
      <c r="C126" s="2">
        <f t="shared" si="3"/>
        <v>332557265.32999998</v>
      </c>
      <c r="D126" s="19">
        <v>346908084.18049997</v>
      </c>
      <c r="E126" s="19">
        <v>332557265.32999998</v>
      </c>
      <c r="F126" s="2">
        <v>389879512.15999997</v>
      </c>
      <c r="G126" s="13">
        <v>989.87</v>
      </c>
      <c r="H126" s="13">
        <v>14860</v>
      </c>
      <c r="I126" s="6">
        <f t="shared" si="4"/>
        <v>0.76826193025874123</v>
      </c>
      <c r="K126" s="3">
        <v>4821309</v>
      </c>
      <c r="L126" s="1">
        <v>167270</v>
      </c>
      <c r="M126" s="121">
        <f t="shared" si="5"/>
        <v>4988579</v>
      </c>
    </row>
    <row r="127" spans="1:13" x14ac:dyDescent="0.3">
      <c r="A127" t="s">
        <v>128</v>
      </c>
      <c r="B127" s="2">
        <v>3146782686.7224503</v>
      </c>
      <c r="C127" s="2">
        <f t="shared" si="3"/>
        <v>713482479.81930006</v>
      </c>
      <c r="D127" s="19">
        <v>713482479.81930006</v>
      </c>
      <c r="E127" s="19" t="s">
        <v>287</v>
      </c>
      <c r="F127" s="2">
        <v>779790232.77999997</v>
      </c>
      <c r="G127" s="13">
        <v>4227.17</v>
      </c>
      <c r="H127" s="13">
        <v>27515</v>
      </c>
      <c r="I127" s="6">
        <f t="shared" si="4"/>
        <v>0.42436041409656455</v>
      </c>
      <c r="K127" s="3">
        <v>12631771</v>
      </c>
      <c r="L127" s="1">
        <v>1475585</v>
      </c>
      <c r="M127" s="121">
        <f t="shared" si="5"/>
        <v>14107356</v>
      </c>
    </row>
    <row r="128" spans="1:13" x14ac:dyDescent="0.3">
      <c r="A128" t="s">
        <v>129</v>
      </c>
      <c r="B128" s="2">
        <v>6093747493.0518646</v>
      </c>
      <c r="C128" s="2">
        <f t="shared" si="3"/>
        <v>1109414980.45</v>
      </c>
      <c r="D128" s="19">
        <v>1165707088.2407999</v>
      </c>
      <c r="E128" s="19">
        <v>1109414980.45</v>
      </c>
      <c r="F128" s="2">
        <v>807668396.45000005</v>
      </c>
      <c r="G128" s="13">
        <v>3124.97</v>
      </c>
      <c r="H128" s="13">
        <v>23193</v>
      </c>
      <c r="I128" s="6">
        <f t="shared" si="4"/>
        <v>0.8</v>
      </c>
      <c r="K128" s="3">
        <v>17945729</v>
      </c>
      <c r="L128" s="1">
        <v>262496</v>
      </c>
      <c r="M128" s="121">
        <f t="shared" si="5"/>
        <v>18208225</v>
      </c>
    </row>
    <row r="129" spans="1:13" x14ac:dyDescent="0.3">
      <c r="A129" t="s">
        <v>130</v>
      </c>
      <c r="B129" s="2">
        <v>546080260.40340698</v>
      </c>
      <c r="C129" s="2">
        <f t="shared" si="3"/>
        <v>131864497</v>
      </c>
      <c r="D129" s="19">
        <v>140608109.00009999</v>
      </c>
      <c r="E129" s="19">
        <v>131864497</v>
      </c>
      <c r="F129" s="2">
        <v>162315899.40000001</v>
      </c>
      <c r="G129" s="13">
        <v>1057.17</v>
      </c>
      <c r="H129" s="13">
        <v>8535</v>
      </c>
      <c r="I129" s="6">
        <f t="shared" si="4"/>
        <v>0.29432479415798984</v>
      </c>
      <c r="K129" s="3">
        <v>2352832</v>
      </c>
      <c r="L129" s="1">
        <v>380755</v>
      </c>
      <c r="M129" s="121">
        <f t="shared" si="5"/>
        <v>2733587</v>
      </c>
    </row>
    <row r="130" spans="1:13" x14ac:dyDescent="0.3">
      <c r="A130" t="s">
        <v>131</v>
      </c>
      <c r="B130" s="2">
        <v>26309889889.600494</v>
      </c>
      <c r="C130" s="2">
        <f t="shared" si="3"/>
        <v>5942459912.2399998</v>
      </c>
      <c r="D130" s="19">
        <v>6138460843.4292002</v>
      </c>
      <c r="E130" s="19">
        <v>5942459912.2399998</v>
      </c>
      <c r="F130" s="2">
        <v>3343105779.54</v>
      </c>
      <c r="G130" s="13">
        <v>38885.050000000003</v>
      </c>
      <c r="H130" s="13">
        <v>238283</v>
      </c>
      <c r="I130" s="6">
        <f t="shared" si="4"/>
        <v>0.3463553628391115</v>
      </c>
      <c r="K130" s="3">
        <v>87899118</v>
      </c>
      <c r="L130" s="1">
        <v>4008474</v>
      </c>
      <c r="M130" s="121">
        <f t="shared" si="5"/>
        <v>91907592</v>
      </c>
    </row>
    <row r="131" spans="1:13" x14ac:dyDescent="0.3">
      <c r="A131" t="s">
        <v>132</v>
      </c>
      <c r="B131" s="2">
        <v>559234885.19368243</v>
      </c>
      <c r="C131" s="2">
        <f t="shared" si="3"/>
        <v>165255250.28299999</v>
      </c>
      <c r="D131" s="19">
        <v>165255250.28299999</v>
      </c>
      <c r="E131" s="19" t="s">
        <v>287</v>
      </c>
      <c r="F131" s="2">
        <v>81886514.780000001</v>
      </c>
      <c r="G131" s="13">
        <v>652.9</v>
      </c>
      <c r="H131" s="13">
        <v>7410</v>
      </c>
      <c r="I131" s="6">
        <f t="shared" si="4"/>
        <v>0.41716075996573215</v>
      </c>
      <c r="K131" s="3">
        <v>1727487</v>
      </c>
      <c r="L131" s="1">
        <v>8606</v>
      </c>
      <c r="M131" s="121">
        <f t="shared" si="5"/>
        <v>1736093</v>
      </c>
    </row>
    <row r="132" spans="1:13" x14ac:dyDescent="0.3">
      <c r="A132" t="s">
        <v>133</v>
      </c>
      <c r="B132" s="2">
        <v>349136294.45275486</v>
      </c>
      <c r="C132" s="2">
        <f t="shared" si="3"/>
        <v>64614183.409999996</v>
      </c>
      <c r="D132" s="19">
        <v>92494585.096599996</v>
      </c>
      <c r="E132" s="19">
        <v>64614183.409999996</v>
      </c>
      <c r="F132" s="2">
        <v>135239179.63999999</v>
      </c>
      <c r="G132" s="13">
        <v>1023.48</v>
      </c>
      <c r="H132" s="13">
        <v>6082</v>
      </c>
      <c r="I132" s="6">
        <f t="shared" si="4"/>
        <v>0.21629846512751219</v>
      </c>
      <c r="K132" s="3">
        <v>1533808</v>
      </c>
      <c r="L132" s="1">
        <v>229769</v>
      </c>
      <c r="M132" s="121">
        <f t="shared" si="5"/>
        <v>1763577</v>
      </c>
    </row>
    <row r="133" spans="1:13" x14ac:dyDescent="0.3">
      <c r="A133" t="s">
        <v>288</v>
      </c>
      <c r="B133" s="3">
        <v>2252842869.9508963</v>
      </c>
      <c r="C133" s="2">
        <f t="shared" ref="C133:C138" si="6">IFERROR(MIN(D133:E133),D133)</f>
        <v>651093602.66999996</v>
      </c>
      <c r="D133" s="19">
        <v>651093602.66999996</v>
      </c>
      <c r="E133" s="19" t="s">
        <v>287</v>
      </c>
      <c r="F133" s="3">
        <v>563709737.99000001</v>
      </c>
      <c r="G133" s="13">
        <v>3716.18</v>
      </c>
      <c r="H133" s="13">
        <v>25438</v>
      </c>
      <c r="I133" s="6">
        <f t="shared" ref="I133:I138" si="7">MIN((1-0.55)*(0.666666*(0.5*(B133/G133)/($B$3/$G$3)+0.4*((C133/G133)/($C$3/$G$3))+0.1*((F133/G133)/($F$3/$G$3)))+0.3333333*(0.5*(B133/H133)/($B$3/$H$3)+0.4*((C133/H133)/($C$3/$H$3))+0.1*((F133/H133)/($F$3/$H$3)))),0.8)</f>
        <v>0.37150681310888567</v>
      </c>
      <c r="K133" s="3">
        <v>8577460</v>
      </c>
      <c r="L133" s="1">
        <v>239158</v>
      </c>
      <c r="M133" s="121">
        <f t="shared" ref="M133:M138" si="8">L133+K133</f>
        <v>8816618</v>
      </c>
    </row>
    <row r="134" spans="1:13" x14ac:dyDescent="0.3">
      <c r="A134" t="s">
        <v>289</v>
      </c>
      <c r="B134" s="3">
        <v>1527109407.5634611</v>
      </c>
      <c r="C134" s="2">
        <f t="shared" si="6"/>
        <v>426123433.55500001</v>
      </c>
      <c r="D134" s="19">
        <v>426123433.55500001</v>
      </c>
      <c r="E134" s="19" t="s">
        <v>287</v>
      </c>
      <c r="F134" s="3">
        <v>52684184.060000002</v>
      </c>
      <c r="G134" s="13">
        <v>2078.3200000000002</v>
      </c>
      <c r="H134" s="13">
        <v>12359</v>
      </c>
      <c r="I134" s="6">
        <f t="shared" si="7"/>
        <v>0.37420372161066351</v>
      </c>
      <c r="K134" s="3">
        <v>4708688</v>
      </c>
      <c r="L134" s="1">
        <v>51828</v>
      </c>
      <c r="M134" s="121">
        <f t="shared" si="8"/>
        <v>4760516</v>
      </c>
    </row>
    <row r="135" spans="1:13" x14ac:dyDescent="0.3">
      <c r="A135" t="s">
        <v>290</v>
      </c>
      <c r="B135" s="3">
        <v>4993679524.8490257</v>
      </c>
      <c r="C135" s="2">
        <f t="shared" si="6"/>
        <v>1134383730.2428</v>
      </c>
      <c r="D135" s="19">
        <v>1134383730.2428</v>
      </c>
      <c r="E135" s="19" t="s">
        <v>287</v>
      </c>
      <c r="F135" s="3">
        <v>550309242.04999995</v>
      </c>
      <c r="G135" s="13">
        <v>7230.2</v>
      </c>
      <c r="H135" s="13">
        <v>41577</v>
      </c>
      <c r="I135" s="6">
        <f t="shared" si="7"/>
        <v>0.35572058638906295</v>
      </c>
      <c r="K135" s="3">
        <v>19063655</v>
      </c>
      <c r="L135" s="1">
        <v>2052593</v>
      </c>
      <c r="M135" s="121">
        <f t="shared" si="8"/>
        <v>21116248</v>
      </c>
    </row>
    <row r="136" spans="1:13" x14ac:dyDescent="0.3">
      <c r="A136" t="s">
        <v>291</v>
      </c>
      <c r="B136" s="3">
        <v>1520648019.9699478</v>
      </c>
      <c r="C136" s="2">
        <f t="shared" si="6"/>
        <v>392361408.70359999</v>
      </c>
      <c r="D136" s="19">
        <v>392361408.70359999</v>
      </c>
      <c r="E136" s="19" t="s">
        <v>287</v>
      </c>
      <c r="F136" s="3">
        <v>167092520</v>
      </c>
      <c r="G136" s="13">
        <v>3330.38</v>
      </c>
      <c r="H136" s="13">
        <v>15700</v>
      </c>
      <c r="I136" s="6">
        <f t="shared" si="7"/>
        <v>0.26747393180474194</v>
      </c>
      <c r="K136" s="3">
        <v>6856378</v>
      </c>
      <c r="L136" s="1">
        <v>610704</v>
      </c>
      <c r="M136" s="121">
        <f t="shared" si="8"/>
        <v>7467082</v>
      </c>
    </row>
    <row r="137" spans="1:13" x14ac:dyDescent="0.3">
      <c r="A137" t="s">
        <v>292</v>
      </c>
      <c r="B137" s="3">
        <v>529185628.89695674</v>
      </c>
      <c r="C137" s="2">
        <f t="shared" si="6"/>
        <v>78819846</v>
      </c>
      <c r="D137" s="19">
        <v>78819846</v>
      </c>
      <c r="E137" s="19" t="s">
        <v>287</v>
      </c>
      <c r="F137" s="3">
        <v>16967703.07</v>
      </c>
      <c r="G137" s="13">
        <v>571.45000000000005</v>
      </c>
      <c r="H137" s="13">
        <v>3580</v>
      </c>
      <c r="I137" s="6">
        <f t="shared" si="7"/>
        <v>0.35997175522536895</v>
      </c>
      <c r="K137" s="3">
        <v>1506760</v>
      </c>
      <c r="L137" s="1">
        <v>127082</v>
      </c>
      <c r="M137" s="121">
        <f t="shared" si="8"/>
        <v>1633842</v>
      </c>
    </row>
    <row r="138" spans="1:13" x14ac:dyDescent="0.3">
      <c r="A138" t="s">
        <v>293</v>
      </c>
      <c r="B138" s="3">
        <v>337396232.27027029</v>
      </c>
      <c r="C138" s="2">
        <f t="shared" si="6"/>
        <v>87616663</v>
      </c>
      <c r="D138" s="19">
        <v>87616663</v>
      </c>
      <c r="E138" s="19" t="s">
        <v>287</v>
      </c>
      <c r="F138" s="3">
        <v>20961420.239999998</v>
      </c>
      <c r="G138" s="13">
        <v>757.77</v>
      </c>
      <c r="H138" s="13">
        <v>3333</v>
      </c>
      <c r="I138" s="6">
        <f t="shared" si="7"/>
        <v>0.25540402044546789</v>
      </c>
      <c r="K138" s="3">
        <v>1321313</v>
      </c>
      <c r="L138" s="1">
        <v>45880</v>
      </c>
      <c r="M138" s="121">
        <f t="shared" si="8"/>
        <v>1367193</v>
      </c>
    </row>
    <row r="139" spans="1:13" x14ac:dyDescent="0.3">
      <c r="C139" s="2"/>
      <c r="I139" s="3"/>
    </row>
  </sheetData>
  <hyperlinks>
    <hyperlink ref="B1" r:id="rId1" xr:uid="{5A8EAF7C-2620-4D1F-96E2-C0636F3316E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BDC2F-AA4F-42F1-B837-E47CDBD0272B}">
  <sheetPr codeName="Sheet9"/>
  <dimension ref="A1:AB29"/>
  <sheetViews>
    <sheetView workbookViewId="0">
      <selection activeCell="G35" sqref="G35"/>
    </sheetView>
  </sheetViews>
  <sheetFormatPr defaultColWidth="9.109375" defaultRowHeight="13.8" x14ac:dyDescent="0.25"/>
  <cols>
    <col min="1" max="1" width="9.109375" style="38"/>
    <col min="2" max="2" width="3.109375" style="38" bestFit="1" customWidth="1"/>
    <col min="3" max="3" width="2.109375" style="38" bestFit="1" customWidth="1"/>
    <col min="4" max="4" width="1.6640625" style="38" customWidth="1"/>
    <col min="5" max="7" width="15.6640625" style="38" customWidth="1"/>
    <col min="8" max="8" width="1.6640625" style="38" customWidth="1"/>
    <col min="9" max="9" width="2.5546875" style="38" bestFit="1" customWidth="1"/>
    <col min="10" max="10" width="3.109375" style="38" bestFit="1" customWidth="1"/>
    <col min="11" max="11" width="2.109375" style="38" bestFit="1" customWidth="1"/>
    <col min="12" max="12" width="1.6640625" style="38" customWidth="1"/>
    <col min="13" max="15" width="15.6640625" style="38" customWidth="1"/>
    <col min="16" max="16" width="1.6640625" style="38" customWidth="1"/>
    <col min="17" max="17" width="2.5546875" style="38" bestFit="1" customWidth="1"/>
    <col min="18" max="18" width="3.109375" style="38" bestFit="1" customWidth="1"/>
    <col min="19" max="19" width="2.109375" style="38" bestFit="1" customWidth="1"/>
    <col min="20" max="20" width="2.109375" style="38" customWidth="1"/>
    <col min="21" max="23" width="15.6640625" style="38" customWidth="1"/>
    <col min="24" max="24" width="1.6640625" style="38" customWidth="1"/>
    <col min="25" max="25" width="2.5546875" style="38" bestFit="1" customWidth="1"/>
    <col min="26" max="28" width="15.6640625" style="38" customWidth="1"/>
    <col min="29" max="16384" width="9.109375" style="38"/>
  </cols>
  <sheetData>
    <row r="1" spans="1:28" ht="21.6" thickBot="1" x14ac:dyDescent="0.45">
      <c r="A1" s="165" t="s">
        <v>332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7"/>
    </row>
    <row r="2" spans="1:28" ht="15" x14ac:dyDescent="0.25">
      <c r="A2" s="42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60"/>
      <c r="N2" s="160"/>
      <c r="O2" s="160"/>
      <c r="P2" s="41"/>
      <c r="Q2" s="40"/>
      <c r="R2" s="40"/>
      <c r="S2" s="40"/>
      <c r="T2" s="40"/>
      <c r="U2" s="40"/>
      <c r="V2" s="40"/>
      <c r="W2" s="40"/>
      <c r="X2" s="40"/>
      <c r="Y2" s="40"/>
      <c r="Z2" s="40"/>
      <c r="AA2" s="43"/>
      <c r="AB2" s="44"/>
    </row>
    <row r="3" spans="1:28" ht="15.75" customHeight="1" x14ac:dyDescent="0.25">
      <c r="A3" s="45"/>
      <c r="B3" s="30"/>
      <c r="C3" s="30"/>
      <c r="D3" s="30"/>
      <c r="E3" s="158" t="s">
        <v>314</v>
      </c>
      <c r="F3" s="158"/>
      <c r="G3" s="158"/>
      <c r="H3" s="31"/>
      <c r="I3" s="30"/>
      <c r="J3" s="30"/>
      <c r="K3" s="30"/>
      <c r="L3" s="30"/>
      <c r="M3" s="158" t="s">
        <v>325</v>
      </c>
      <c r="N3" s="158"/>
      <c r="O3" s="158"/>
      <c r="P3" s="32"/>
      <c r="Q3" s="30"/>
      <c r="R3" s="30"/>
      <c r="S3" s="30"/>
      <c r="T3" s="30"/>
      <c r="U3" s="158" t="s">
        <v>316</v>
      </c>
      <c r="V3" s="158"/>
      <c r="W3" s="158"/>
      <c r="X3" s="32"/>
      <c r="Y3" s="30"/>
      <c r="Z3" s="30"/>
      <c r="AB3" s="46"/>
    </row>
    <row r="4" spans="1:28" ht="15.75" customHeight="1" x14ac:dyDescent="0.25">
      <c r="A4" s="45"/>
      <c r="B4" s="156">
        <v>0.5</v>
      </c>
      <c r="C4" s="156" t="s">
        <v>324</v>
      </c>
      <c r="D4" s="30"/>
      <c r="E4" s="157" t="s">
        <v>323</v>
      </c>
      <c r="F4" s="157"/>
      <c r="G4" s="157"/>
      <c r="H4" s="31"/>
      <c r="I4" s="161" t="s">
        <v>317</v>
      </c>
      <c r="J4" s="156">
        <v>0.4</v>
      </c>
      <c r="K4" s="156" t="s">
        <v>324</v>
      </c>
      <c r="L4" s="34"/>
      <c r="M4" s="157" t="s">
        <v>323</v>
      </c>
      <c r="N4" s="157"/>
      <c r="O4" s="157"/>
      <c r="P4" s="33"/>
      <c r="Q4" s="161" t="s">
        <v>317</v>
      </c>
      <c r="R4" s="156">
        <v>0.1</v>
      </c>
      <c r="S4" s="156" t="s">
        <v>324</v>
      </c>
      <c r="T4" s="34"/>
      <c r="U4" s="157" t="s">
        <v>323</v>
      </c>
      <c r="V4" s="157"/>
      <c r="W4" s="157"/>
      <c r="X4" s="33"/>
      <c r="Y4" s="30"/>
      <c r="AB4" s="46"/>
    </row>
    <row r="5" spans="1:28" ht="15.75" customHeight="1" x14ac:dyDescent="0.25">
      <c r="A5" s="45"/>
      <c r="B5" s="156"/>
      <c r="C5" s="156"/>
      <c r="D5" s="34"/>
      <c r="E5" s="158" t="s">
        <v>327</v>
      </c>
      <c r="F5" s="158"/>
      <c r="G5" s="158"/>
      <c r="H5" s="31"/>
      <c r="I5" s="161"/>
      <c r="J5" s="156"/>
      <c r="K5" s="156"/>
      <c r="L5" s="34"/>
      <c r="M5" s="158" t="s">
        <v>326</v>
      </c>
      <c r="N5" s="158"/>
      <c r="O5" s="158"/>
      <c r="P5" s="33"/>
      <c r="Q5" s="161"/>
      <c r="R5" s="156"/>
      <c r="S5" s="156"/>
      <c r="T5" s="34"/>
      <c r="U5" s="159" t="s">
        <v>319</v>
      </c>
      <c r="V5" s="159"/>
      <c r="W5" s="159"/>
      <c r="X5" s="32"/>
      <c r="Y5" s="33" t="s">
        <v>318</v>
      </c>
      <c r="Z5" s="164" t="s">
        <v>267</v>
      </c>
      <c r="AA5" s="164"/>
      <c r="AB5" s="170"/>
    </row>
    <row r="6" spans="1:28" ht="15.75" customHeight="1" x14ac:dyDescent="0.25">
      <c r="A6" s="45"/>
      <c r="B6" s="30"/>
      <c r="C6" s="30"/>
      <c r="D6" s="30"/>
      <c r="E6" s="162" t="s">
        <v>320</v>
      </c>
      <c r="F6" s="162"/>
      <c r="G6" s="162"/>
      <c r="H6" s="31"/>
      <c r="I6" s="30"/>
      <c r="J6" s="30"/>
      <c r="K6" s="30"/>
      <c r="L6" s="30"/>
      <c r="M6" s="162" t="s">
        <v>320</v>
      </c>
      <c r="N6" s="162"/>
      <c r="O6" s="162"/>
      <c r="P6" s="33"/>
      <c r="Q6" s="30"/>
      <c r="R6" s="30"/>
      <c r="S6" s="30"/>
      <c r="T6" s="30"/>
      <c r="U6" s="162" t="s">
        <v>320</v>
      </c>
      <c r="V6" s="162"/>
      <c r="W6" s="162"/>
      <c r="X6" s="33"/>
      <c r="Y6" s="30"/>
      <c r="Z6" s="35"/>
      <c r="AB6" s="46"/>
    </row>
    <row r="7" spans="1:28" ht="15.75" customHeight="1" x14ac:dyDescent="0.25">
      <c r="A7" s="45"/>
      <c r="B7" s="30"/>
      <c r="C7" s="30"/>
      <c r="D7" s="30"/>
      <c r="H7" s="31"/>
      <c r="I7" s="30"/>
      <c r="J7" s="30"/>
      <c r="K7" s="30"/>
      <c r="L7" s="30"/>
      <c r="P7" s="33"/>
      <c r="Q7" s="30"/>
      <c r="R7" s="30"/>
      <c r="S7" s="30"/>
      <c r="T7" s="30"/>
      <c r="U7" s="30"/>
      <c r="W7" s="30"/>
      <c r="X7" s="30"/>
      <c r="Y7" s="30"/>
      <c r="Z7" s="30"/>
      <c r="AB7" s="46"/>
    </row>
    <row r="8" spans="1:28" ht="15.75" customHeight="1" x14ac:dyDescent="0.25">
      <c r="A8" s="45"/>
      <c r="B8" s="30"/>
      <c r="C8" s="30"/>
      <c r="D8" s="30"/>
      <c r="H8" s="31"/>
      <c r="I8" s="30"/>
      <c r="J8" s="30"/>
      <c r="K8" s="30"/>
      <c r="L8" s="30"/>
      <c r="M8" s="30"/>
      <c r="N8" s="30"/>
      <c r="O8" s="30"/>
      <c r="Q8" s="30"/>
      <c r="R8" s="30"/>
      <c r="S8" s="30"/>
      <c r="T8" s="30"/>
      <c r="U8" s="30"/>
      <c r="V8" s="30"/>
      <c r="W8" s="30"/>
      <c r="X8" s="30"/>
      <c r="Y8" s="30"/>
      <c r="Z8" s="30"/>
      <c r="AB8" s="46"/>
    </row>
    <row r="9" spans="1:28" ht="15.75" customHeight="1" x14ac:dyDescent="0.25">
      <c r="A9" s="45"/>
      <c r="B9" s="30"/>
      <c r="C9" s="30"/>
      <c r="D9" s="30"/>
      <c r="E9" s="158" t="s">
        <v>314</v>
      </c>
      <c r="F9" s="158"/>
      <c r="G9" s="158"/>
      <c r="H9" s="31"/>
      <c r="I9" s="30"/>
      <c r="J9" s="30"/>
      <c r="K9" s="30"/>
      <c r="L9" s="30"/>
      <c r="M9" s="158" t="s">
        <v>325</v>
      </c>
      <c r="N9" s="158"/>
      <c r="O9" s="158"/>
      <c r="P9" s="32"/>
      <c r="Q9" s="30"/>
      <c r="R9" s="30"/>
      <c r="S9" s="30"/>
      <c r="T9" s="30"/>
      <c r="U9" s="158" t="s">
        <v>316</v>
      </c>
      <c r="V9" s="158"/>
      <c r="W9" s="158"/>
      <c r="X9" s="32"/>
      <c r="Y9" s="30"/>
      <c r="Z9" s="30"/>
      <c r="AB9" s="46"/>
    </row>
    <row r="10" spans="1:28" ht="15.75" customHeight="1" x14ac:dyDescent="0.25">
      <c r="A10" s="45"/>
      <c r="B10" s="156">
        <v>0.5</v>
      </c>
      <c r="C10" s="156" t="s">
        <v>324</v>
      </c>
      <c r="D10" s="30"/>
      <c r="E10" s="157" t="s">
        <v>321</v>
      </c>
      <c r="F10" s="157"/>
      <c r="G10" s="157"/>
      <c r="H10" s="31"/>
      <c r="I10" s="161" t="s">
        <v>317</v>
      </c>
      <c r="J10" s="156">
        <v>0.4</v>
      </c>
      <c r="K10" s="156" t="s">
        <v>324</v>
      </c>
      <c r="L10" s="34"/>
      <c r="M10" s="157" t="s">
        <v>321</v>
      </c>
      <c r="N10" s="157"/>
      <c r="O10" s="157"/>
      <c r="P10" s="33"/>
      <c r="Q10" s="161" t="s">
        <v>317</v>
      </c>
      <c r="R10" s="156">
        <v>0.1</v>
      </c>
      <c r="S10" s="156" t="s">
        <v>324</v>
      </c>
      <c r="T10" s="34"/>
      <c r="U10" s="157" t="s">
        <v>321</v>
      </c>
      <c r="V10" s="157"/>
      <c r="W10" s="157"/>
      <c r="X10" s="33"/>
      <c r="Y10" s="161" t="s">
        <v>318</v>
      </c>
      <c r="Z10" s="168" t="s">
        <v>328</v>
      </c>
      <c r="AA10" s="168"/>
      <c r="AB10" s="169"/>
    </row>
    <row r="11" spans="1:28" ht="15.75" customHeight="1" x14ac:dyDescent="0.25">
      <c r="A11" s="45"/>
      <c r="B11" s="156"/>
      <c r="C11" s="156"/>
      <c r="D11" s="34"/>
      <c r="E11" s="158" t="s">
        <v>327</v>
      </c>
      <c r="F11" s="158"/>
      <c r="G11" s="158"/>
      <c r="H11" s="31"/>
      <c r="I11" s="161"/>
      <c r="J11" s="156"/>
      <c r="K11" s="156"/>
      <c r="L11" s="34"/>
      <c r="M11" s="158" t="s">
        <v>326</v>
      </c>
      <c r="N11" s="158"/>
      <c r="O11" s="158"/>
      <c r="P11" s="33"/>
      <c r="Q11" s="161"/>
      <c r="R11" s="156"/>
      <c r="S11" s="156"/>
      <c r="T11" s="34"/>
      <c r="U11" s="159" t="s">
        <v>319</v>
      </c>
      <c r="V11" s="159"/>
      <c r="W11" s="159"/>
      <c r="X11" s="32"/>
      <c r="Y11" s="161"/>
      <c r="Z11" s="168"/>
      <c r="AA11" s="168"/>
      <c r="AB11" s="169"/>
    </row>
    <row r="12" spans="1:28" ht="15.75" customHeight="1" x14ac:dyDescent="0.25">
      <c r="A12" s="45"/>
      <c r="B12" s="30"/>
      <c r="C12" s="30"/>
      <c r="D12" s="30"/>
      <c r="E12" s="162" t="s">
        <v>322</v>
      </c>
      <c r="F12" s="162"/>
      <c r="G12" s="162"/>
      <c r="H12" s="31"/>
      <c r="I12" s="30"/>
      <c r="J12" s="30"/>
      <c r="K12" s="30"/>
      <c r="L12" s="30"/>
      <c r="M12" s="162" t="s">
        <v>322</v>
      </c>
      <c r="N12" s="162"/>
      <c r="O12" s="162"/>
      <c r="P12" s="33"/>
      <c r="Q12" s="30"/>
      <c r="R12" s="30"/>
      <c r="S12" s="30"/>
      <c r="T12" s="30"/>
      <c r="U12" s="162" t="s">
        <v>322</v>
      </c>
      <c r="V12" s="162"/>
      <c r="W12" s="162"/>
      <c r="X12" s="33"/>
      <c r="Y12" s="30"/>
      <c r="Z12" s="35"/>
      <c r="AB12" s="46"/>
    </row>
    <row r="13" spans="1:28" ht="15" x14ac:dyDescent="0.25">
      <c r="A13" s="45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3" t="s">
        <v>315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B13" s="46"/>
    </row>
    <row r="14" spans="1:28" ht="15" x14ac:dyDescent="0.25">
      <c r="A14" s="45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B14" s="46"/>
    </row>
    <row r="15" spans="1:28" ht="15" x14ac:dyDescent="0.25">
      <c r="A15" s="45"/>
      <c r="E15" s="163" t="s">
        <v>329</v>
      </c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37" t="s">
        <v>318</v>
      </c>
      <c r="Q15" s="164" t="s">
        <v>269</v>
      </c>
      <c r="R15" s="164"/>
      <c r="S15" s="164"/>
      <c r="T15" s="164"/>
      <c r="U15" s="164"/>
      <c r="V15" s="164"/>
      <c r="W15" s="164"/>
      <c r="AB15" s="46"/>
    </row>
    <row r="16" spans="1:28" ht="15" x14ac:dyDescent="0.25">
      <c r="A16" s="4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164"/>
      <c r="T16" s="164"/>
      <c r="U16" s="164"/>
      <c r="V16" s="164"/>
      <c r="W16" s="164"/>
      <c r="AB16" s="46"/>
    </row>
    <row r="17" spans="1:28" ht="15" x14ac:dyDescent="0.25">
      <c r="A17" s="45"/>
      <c r="O17" s="39" t="s">
        <v>330</v>
      </c>
      <c r="P17" s="37" t="s">
        <v>318</v>
      </c>
      <c r="Q17" s="164" t="s">
        <v>331</v>
      </c>
      <c r="R17" s="164"/>
      <c r="S17" s="164"/>
      <c r="T17" s="164"/>
      <c r="U17" s="164"/>
      <c r="V17" s="164"/>
      <c r="W17" s="164"/>
      <c r="AB17" s="46"/>
    </row>
    <row r="18" spans="1:28" ht="14.4" thickBot="1" x14ac:dyDescent="0.3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9"/>
    </row>
    <row r="19" spans="1:28" ht="14.4" thickBot="1" x14ac:dyDescent="0.3"/>
    <row r="20" spans="1:28" ht="21.6" thickBot="1" x14ac:dyDescent="0.45">
      <c r="A20" s="165" t="s">
        <v>333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7"/>
    </row>
    <row r="21" spans="1:28" ht="12" customHeight="1" x14ac:dyDescent="0.4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spans="1:28" ht="15" x14ac:dyDescent="0.25">
      <c r="A22" s="174" t="s">
        <v>334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6"/>
    </row>
    <row r="23" spans="1:28" x14ac:dyDescent="0.25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3"/>
    </row>
    <row r="24" spans="1:28" x14ac:dyDescent="0.25">
      <c r="A24" s="171" t="s">
        <v>335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3"/>
    </row>
    <row r="25" spans="1:28" x14ac:dyDescent="0.25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3"/>
    </row>
    <row r="26" spans="1:28" ht="15" x14ac:dyDescent="0.25">
      <c r="A26" s="174" t="s">
        <v>336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6"/>
    </row>
    <row r="27" spans="1:28" x14ac:dyDescent="0.25">
      <c r="A27" s="171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3"/>
    </row>
    <row r="28" spans="1:28" x14ac:dyDescent="0.25">
      <c r="A28" s="171" t="s">
        <v>337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3"/>
    </row>
    <row r="29" spans="1:28" ht="14.4" thickBot="1" x14ac:dyDescent="0.3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9"/>
    </row>
  </sheetData>
  <sheetProtection algorithmName="SHA-512" hashValue="0H1Xu3vHOZBdOt8/iG9BnuGjqHMz2K6uAapOY69bCv2ptRUesrkE3HfJ9m/FPS30UcFRkzzqgD5LpX9qoQdGtA==" saltValue="AJ2DKckvLVT/eA71FuJFnQ==" spinCount="100000" sheet="1" objects="1" scenarios="1"/>
  <mergeCells count="57">
    <mergeCell ref="A27:AB27"/>
    <mergeCell ref="A28:AB28"/>
    <mergeCell ref="A22:AB22"/>
    <mergeCell ref="A23:AB23"/>
    <mergeCell ref="A24:AB24"/>
    <mergeCell ref="A25:AB25"/>
    <mergeCell ref="A26:AB26"/>
    <mergeCell ref="E15:O15"/>
    <mergeCell ref="Q17:W17"/>
    <mergeCell ref="A1:AB1"/>
    <mergeCell ref="A20:AB20"/>
    <mergeCell ref="Z10:AB11"/>
    <mergeCell ref="Z5:AB5"/>
    <mergeCell ref="Q15:W15"/>
    <mergeCell ref="S16:W16"/>
    <mergeCell ref="U11:W11"/>
    <mergeCell ref="E12:G12"/>
    <mergeCell ref="M12:O12"/>
    <mergeCell ref="U12:W12"/>
    <mergeCell ref="Y10:Y11"/>
    <mergeCell ref="E9:G9"/>
    <mergeCell ref="M9:O9"/>
    <mergeCell ref="U9:W9"/>
    <mergeCell ref="B10:B11"/>
    <mergeCell ref="C10:C11"/>
    <mergeCell ref="E10:G10"/>
    <mergeCell ref="I10:I11"/>
    <mergeCell ref="J10:J11"/>
    <mergeCell ref="U10:W10"/>
    <mergeCell ref="E11:G11"/>
    <mergeCell ref="M11:O11"/>
    <mergeCell ref="Q4:Q5"/>
    <mergeCell ref="R4:R5"/>
    <mergeCell ref="S4:S5"/>
    <mergeCell ref="U6:W6"/>
    <mergeCell ref="K10:K11"/>
    <mergeCell ref="M10:O10"/>
    <mergeCell ref="Q10:Q11"/>
    <mergeCell ref="R10:R11"/>
    <mergeCell ref="S10:S11"/>
    <mergeCell ref="M6:O6"/>
    <mergeCell ref="E6:G6"/>
    <mergeCell ref="M4:O4"/>
    <mergeCell ref="B4:B5"/>
    <mergeCell ref="U4:W4"/>
    <mergeCell ref="U3:W3"/>
    <mergeCell ref="U5:W5"/>
    <mergeCell ref="M2:O2"/>
    <mergeCell ref="M5:O5"/>
    <mergeCell ref="E3:G3"/>
    <mergeCell ref="M3:O3"/>
    <mergeCell ref="C4:C5"/>
    <mergeCell ref="I4:I5"/>
    <mergeCell ref="J4:J5"/>
    <mergeCell ref="K4:K5"/>
    <mergeCell ref="E4:G4"/>
    <mergeCell ref="E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Forecasts</vt:lpstr>
      <vt:lpstr>Tax Data</vt:lpstr>
      <vt:lpstr>CI Data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Kraus</dc:creator>
  <cp:lastModifiedBy>Aaron Morrow</cp:lastModifiedBy>
  <cp:lastPrinted>2018-06-26T22:32:37Z</cp:lastPrinted>
  <dcterms:created xsi:type="dcterms:W3CDTF">2017-02-09T23:14:43Z</dcterms:created>
  <dcterms:modified xsi:type="dcterms:W3CDTF">2018-12-07T16:47:33Z</dcterms:modified>
</cp:coreProperties>
</file>